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KP\PREFEITURAS MUNIC_DO ESTADO DE MT\Prefeitura Municipal de Primavera do Leste\Obras elétrica 2018\PROJETO IP_LED_PARQUE LINEAR\"/>
    </mc:Choice>
  </mc:AlternateContent>
  <bookViews>
    <workbookView xWindow="240" yWindow="570" windowWidth="9135" windowHeight="4485" tabRatio="621" activeTab="1"/>
  </bookViews>
  <sheets>
    <sheet name="CRONOGRAMA" sheetId="30" r:id="rId1"/>
    <sheet name="PLANILHA ORÇAMENTÁRIA" sheetId="29" r:id="rId2"/>
    <sheet name="COMPOSIÇÃO" sheetId="32" r:id="rId3"/>
    <sheet name="BDI" sheetId="34" r:id="rId4"/>
  </sheets>
  <externalReferences>
    <externalReference r:id="rId5"/>
  </externalReferences>
  <definedNames>
    <definedName name="_xlnm.Print_Area" localSheetId="3">BDI!$A$1:$G$50</definedName>
    <definedName name="_xlnm.Print_Area" localSheetId="2">COMPOSIÇÃO!$A$1:$K$218</definedName>
    <definedName name="_xlnm.Print_Area" localSheetId="0">CRONOGRAMA!$A$1:$G$21</definedName>
    <definedName name="_xlnm.Print_Area" localSheetId="1">'PLANILHA ORÇAMENTÁRIA'!$A$1:$K$56</definedName>
    <definedName name="_xlnm.Print_Titles" localSheetId="3">BDI!$1:$8</definedName>
    <definedName name="_xlnm.Print_Titles" localSheetId="2">COMPOSIÇÃO!$8:$9</definedName>
    <definedName name="_xlnm.Print_Titles" localSheetId="0">CRONOGRAMA!$A:$C,CRONOGRAMA!$1:$8</definedName>
    <definedName name="_xlnm.Print_Titles" localSheetId="1">'PLANILHA ORÇAMENTÁRIA'!$7:$8</definedName>
  </definedNames>
  <calcPr calcId="162913" iterateDelta="1E-4"/>
</workbook>
</file>

<file path=xl/calcChain.xml><?xml version="1.0" encoding="utf-8"?>
<calcChain xmlns="http://schemas.openxmlformats.org/spreadsheetml/2006/main">
  <c r="K6" i="29" l="1"/>
  <c r="BU311" i="34"/>
  <c r="BU310" i="34"/>
  <c r="BU309" i="34"/>
  <c r="CD308" i="34"/>
  <c r="CD309" i="34" s="1"/>
  <c r="CD310" i="34" s="1"/>
  <c r="CD311" i="34" s="1"/>
  <c r="CD312" i="34" s="1"/>
  <c r="BT308" i="34"/>
  <c r="BU308" i="34" s="1"/>
  <c r="CE307" i="34"/>
  <c r="CD307" i="34"/>
  <c r="BU307" i="34"/>
  <c r="BT306" i="34"/>
  <c r="BU306" i="34" s="1"/>
  <c r="CE300" i="34"/>
  <c r="CD300" i="34"/>
  <c r="CD301" i="34" s="1"/>
  <c r="CD302" i="34" s="1"/>
  <c r="CD303" i="34" s="1"/>
  <c r="CD304" i="34" s="1"/>
  <c r="CD305" i="34" s="1"/>
  <c r="CD295" i="34"/>
  <c r="CD296" i="34" s="1"/>
  <c r="CD297" i="34" s="1"/>
  <c r="CD298" i="34" s="1"/>
  <c r="CD299" i="34" s="1"/>
  <c r="BU295" i="34"/>
  <c r="BW295" i="34" s="1"/>
  <c r="D50" i="34" s="1"/>
  <c r="CE294" i="34"/>
  <c r="CD294" i="34"/>
  <c r="CD288" i="34"/>
  <c r="CD289" i="34" s="1"/>
  <c r="CD290" i="34" s="1"/>
  <c r="CD291" i="34" s="1"/>
  <c r="CD292" i="34" s="1"/>
  <c r="CE287" i="34"/>
  <c r="CD287" i="34"/>
  <c r="CE279" i="34"/>
  <c r="CD279" i="34"/>
  <c r="CD280" i="34" s="1"/>
  <c r="CD281" i="34" s="1"/>
  <c r="CD282" i="34" s="1"/>
  <c r="CD283" i="34" s="1"/>
  <c r="CD284" i="34" s="1"/>
  <c r="CE271" i="34"/>
  <c r="CD271" i="34"/>
  <c r="CD272" i="34" s="1"/>
  <c r="CD273" i="34" s="1"/>
  <c r="CD274" i="34" s="1"/>
  <c r="CD275" i="34" s="1"/>
  <c r="CD276" i="34" s="1"/>
  <c r="CI267" i="34"/>
  <c r="BV262" i="34"/>
  <c r="BV261" i="34"/>
  <c r="BV260" i="34"/>
  <c r="BV259" i="34"/>
  <c r="BV258" i="34"/>
  <c r="BV257" i="34"/>
  <c r="K54" i="34"/>
  <c r="K46" i="34"/>
  <c r="I38" i="34"/>
  <c r="I37" i="34"/>
  <c r="I36" i="34"/>
  <c r="I35" i="34"/>
  <c r="I34" i="34"/>
  <c r="F26" i="34"/>
  <c r="F56" i="34" s="1"/>
  <c r="I56" i="34" s="1"/>
  <c r="C24" i="34"/>
  <c r="CI266" i="34" s="1"/>
  <c r="K11" i="34"/>
  <c r="A1" i="34"/>
  <c r="I217" i="32"/>
  <c r="H217" i="32"/>
  <c r="J216" i="32"/>
  <c r="I215" i="32"/>
  <c r="H215" i="32"/>
  <c r="J214" i="32"/>
  <c r="I213" i="32"/>
  <c r="I212" i="32" s="1"/>
  <c r="H213" i="32"/>
  <c r="H212" i="32" s="1"/>
  <c r="J212" i="32"/>
  <c r="K212" i="32" s="1"/>
  <c r="I196" i="32"/>
  <c r="I192" i="32" s="1"/>
  <c r="I195" i="32"/>
  <c r="J194" i="32"/>
  <c r="J193" i="32"/>
  <c r="J192" i="32" s="1"/>
  <c r="I190" i="32"/>
  <c r="I186" i="32" s="1"/>
  <c r="I189" i="32"/>
  <c r="J188" i="32"/>
  <c r="J187" i="32"/>
  <c r="J186" i="32" s="1"/>
  <c r="I184" i="32"/>
  <c r="I183" i="32"/>
  <c r="I180" i="32" s="1"/>
  <c r="J182" i="32"/>
  <c r="J181" i="32"/>
  <c r="J180" i="32" s="1"/>
  <c r="K180" i="32" s="1"/>
  <c r="I178" i="32"/>
  <c r="I177" i="32"/>
  <c r="J176" i="32"/>
  <c r="J175" i="32"/>
  <c r="I172" i="32"/>
  <c r="I171" i="32"/>
  <c r="I168" i="32" s="1"/>
  <c r="J170" i="32"/>
  <c r="J169" i="32"/>
  <c r="J166" i="32"/>
  <c r="J165" i="32"/>
  <c r="J162" i="32" s="1"/>
  <c r="K162" i="32" s="1"/>
  <c r="I164" i="32"/>
  <c r="I163" i="32"/>
  <c r="I162" i="32" s="1"/>
  <c r="I159" i="32"/>
  <c r="I158" i="32"/>
  <c r="I155" i="32" s="1"/>
  <c r="J157" i="32"/>
  <c r="J156" i="32"/>
  <c r="J155" i="32"/>
  <c r="I152" i="32"/>
  <c r="I149" i="32" s="1"/>
  <c r="J151" i="32"/>
  <c r="J150" i="32"/>
  <c r="J149" i="32" s="1"/>
  <c r="K149" i="32" s="1"/>
  <c r="I146" i="32"/>
  <c r="I144" i="32" s="1"/>
  <c r="J145" i="32"/>
  <c r="J144" i="32" s="1"/>
  <c r="I142" i="32"/>
  <c r="I138" i="32" s="1"/>
  <c r="J141" i="32"/>
  <c r="J140" i="32"/>
  <c r="J139" i="32"/>
  <c r="I136" i="32"/>
  <c r="I133" i="32" s="1"/>
  <c r="J135" i="32"/>
  <c r="J134" i="32"/>
  <c r="J133" i="32" s="1"/>
  <c r="J131" i="32"/>
  <c r="J130" i="32"/>
  <c r="J128" i="32" s="1"/>
  <c r="I129" i="32"/>
  <c r="I128" i="32" s="1"/>
  <c r="I126" i="32"/>
  <c r="I125" i="32"/>
  <c r="I122" i="32" s="1"/>
  <c r="J124" i="32"/>
  <c r="J123" i="32"/>
  <c r="I119" i="32"/>
  <c r="I118" i="32"/>
  <c r="I115" i="32" s="1"/>
  <c r="J117" i="32"/>
  <c r="J116" i="32"/>
  <c r="J97" i="32"/>
  <c r="J96" i="32"/>
  <c r="I95" i="32"/>
  <c r="I94" i="32" s="1"/>
  <c r="I91" i="32"/>
  <c r="I88" i="32" s="1"/>
  <c r="J90" i="32"/>
  <c r="J89" i="32"/>
  <c r="J88" i="32" s="1"/>
  <c r="K88" i="32" s="1"/>
  <c r="I81" i="32"/>
  <c r="I78" i="32" s="1"/>
  <c r="J80" i="32"/>
  <c r="J79" i="32"/>
  <c r="I76" i="32"/>
  <c r="I75" i="32"/>
  <c r="I74" i="32"/>
  <c r="J73" i="32"/>
  <c r="J72" i="32" s="1"/>
  <c r="J70" i="32"/>
  <c r="J69" i="32" s="1"/>
  <c r="I69" i="32"/>
  <c r="J67" i="32"/>
  <c r="J66" i="32" s="1"/>
  <c r="I66" i="32"/>
  <c r="I61" i="32"/>
  <c r="I60" i="32"/>
  <c r="I57" i="32" s="1"/>
  <c r="J59" i="32"/>
  <c r="J58" i="32"/>
  <c r="J57" i="32" s="1"/>
  <c r="J43" i="32"/>
  <c r="I25" i="32"/>
  <c r="I24" i="32"/>
  <c r="I23" i="32"/>
  <c r="I22" i="32"/>
  <c r="I21" i="32"/>
  <c r="J20" i="32"/>
  <c r="J19" i="32"/>
  <c r="J16" i="32"/>
  <c r="J14" i="32" s="1"/>
  <c r="I15" i="32"/>
  <c r="I14" i="32" s="1"/>
  <c r="J11" i="32"/>
  <c r="J10" i="32" s="1"/>
  <c r="K10" i="32" s="1"/>
  <c r="I10" i="32"/>
  <c r="B15" i="34" l="1"/>
  <c r="BX295" i="34"/>
  <c r="E50" i="34" s="1"/>
  <c r="F40" i="34"/>
  <c r="I40" i="34" s="1"/>
  <c r="E46" i="34" s="1"/>
  <c r="B47" i="34" s="1"/>
  <c r="E54" i="34"/>
  <c r="BU296" i="34"/>
  <c r="BV295" i="34"/>
  <c r="C50" i="34" s="1"/>
  <c r="I18" i="32"/>
  <c r="K192" i="32"/>
  <c r="I174" i="32"/>
  <c r="J174" i="32"/>
  <c r="K174" i="32" s="1"/>
  <c r="J168" i="32"/>
  <c r="K168" i="32" s="1"/>
  <c r="K186" i="32"/>
  <c r="K133" i="32"/>
  <c r="K155" i="32"/>
  <c r="K144" i="32"/>
  <c r="J138" i="32"/>
  <c r="K138" i="32" s="1"/>
  <c r="I72" i="32"/>
  <c r="K72" i="32" s="1"/>
  <c r="J122" i="32"/>
  <c r="K122" i="32" s="1"/>
  <c r="J78" i="32"/>
  <c r="J115" i="32"/>
  <c r="K115" i="32" s="1"/>
  <c r="J18" i="32"/>
  <c r="K18" i="32" s="1"/>
  <c r="K66" i="32"/>
  <c r="K69" i="32"/>
  <c r="K128" i="32"/>
  <c r="J94" i="32"/>
  <c r="K94" i="32" s="1"/>
  <c r="K78" i="32"/>
  <c r="K57" i="32"/>
  <c r="K14" i="32"/>
  <c r="BU297" i="34" l="1"/>
  <c r="BX296" i="34"/>
  <c r="E34" i="34" s="1"/>
  <c r="BW296" i="34"/>
  <c r="D34" i="34" s="1"/>
  <c r="BV296" i="34"/>
  <c r="C34" i="34" s="1"/>
  <c r="K34" i="34" l="1"/>
  <c r="BU298" i="34"/>
  <c r="BW297" i="34"/>
  <c r="D35" i="34" s="1"/>
  <c r="BX297" i="34"/>
  <c r="E35" i="34" s="1"/>
  <c r="K35" i="34" s="1"/>
  <c r="BV297" i="34"/>
  <c r="C35" i="34" s="1"/>
  <c r="BX298" i="34" l="1"/>
  <c r="E36" i="34" s="1"/>
  <c r="BU299" i="34"/>
  <c r="BW298" i="34"/>
  <c r="D36" i="34" s="1"/>
  <c r="BV298" i="34"/>
  <c r="C36" i="34" s="1"/>
  <c r="BU300" i="34" l="1"/>
  <c r="BX299" i="34"/>
  <c r="E37" i="34" s="1"/>
  <c r="BW299" i="34"/>
  <c r="D37" i="34" s="1"/>
  <c r="BV299" i="34"/>
  <c r="C37" i="34" s="1"/>
  <c r="K36" i="34"/>
  <c r="K37" i="34" l="1"/>
  <c r="BV300" i="34"/>
  <c r="C38" i="34" s="1"/>
  <c r="BX300" i="34"/>
  <c r="E38" i="34" s="1"/>
  <c r="K38" i="34" s="1"/>
  <c r="BW300" i="34"/>
  <c r="D38" i="34" s="1"/>
  <c r="B14" i="30" l="1"/>
  <c r="B13" i="30"/>
  <c r="O28" i="29" l="1"/>
  <c r="O26" i="29"/>
  <c r="O24" i="29"/>
  <c r="E51" i="29"/>
  <c r="D51" i="29"/>
  <c r="C51" i="29"/>
  <c r="H50" i="29" l="1"/>
  <c r="G50" i="29"/>
  <c r="E50" i="29"/>
  <c r="D50" i="29"/>
  <c r="C50" i="29"/>
  <c r="C52" i="29"/>
  <c r="D52" i="29"/>
  <c r="E52" i="29"/>
  <c r="C53" i="29"/>
  <c r="D53" i="29"/>
  <c r="E53" i="29"/>
  <c r="I50" i="29" l="1"/>
  <c r="C25" i="29"/>
  <c r="D25" i="29"/>
  <c r="E25" i="29"/>
  <c r="C26" i="29"/>
  <c r="D26" i="29"/>
  <c r="E26" i="29"/>
  <c r="C27" i="29"/>
  <c r="D27" i="29"/>
  <c r="E27" i="29"/>
  <c r="C28" i="29"/>
  <c r="D28" i="29"/>
  <c r="E28" i="29"/>
  <c r="C29" i="29"/>
  <c r="D29" i="29"/>
  <c r="E29" i="29"/>
  <c r="C30" i="29"/>
  <c r="D30" i="29"/>
  <c r="E30" i="29"/>
  <c r="C31" i="29"/>
  <c r="D31" i="29"/>
  <c r="E31" i="29"/>
  <c r="C32" i="29"/>
  <c r="D32" i="29"/>
  <c r="E32" i="29"/>
  <c r="C33" i="29"/>
  <c r="D33" i="29"/>
  <c r="E33" i="29"/>
  <c r="C34" i="29"/>
  <c r="D34" i="29"/>
  <c r="E34" i="29"/>
  <c r="C35" i="29"/>
  <c r="D35" i="29"/>
  <c r="E35" i="29"/>
  <c r="C36" i="29"/>
  <c r="D36" i="29"/>
  <c r="E36" i="29"/>
  <c r="C37" i="29"/>
  <c r="D37" i="29"/>
  <c r="E37" i="29"/>
  <c r="C38" i="29"/>
  <c r="D38" i="29"/>
  <c r="E38" i="29"/>
  <c r="C39" i="29"/>
  <c r="D39" i="29"/>
  <c r="E39" i="29"/>
  <c r="C40" i="29"/>
  <c r="D40" i="29"/>
  <c r="E40" i="29"/>
  <c r="C41" i="29"/>
  <c r="D41" i="29"/>
  <c r="E41" i="29"/>
  <c r="C42" i="29"/>
  <c r="D42" i="29"/>
  <c r="E42" i="29"/>
  <c r="C43" i="29"/>
  <c r="D43" i="29"/>
  <c r="E43" i="29"/>
  <c r="C44" i="29"/>
  <c r="D44" i="29"/>
  <c r="E44" i="29"/>
  <c r="C45" i="29"/>
  <c r="D45" i="29"/>
  <c r="E45" i="29"/>
  <c r="C46" i="29"/>
  <c r="D46" i="29"/>
  <c r="E46" i="29"/>
  <c r="C47" i="29"/>
  <c r="D47" i="29"/>
  <c r="E47" i="29"/>
  <c r="C48" i="29"/>
  <c r="D48" i="29"/>
  <c r="E48" i="29"/>
  <c r="C49" i="29"/>
  <c r="D49" i="29"/>
  <c r="E49" i="29"/>
  <c r="E24" i="29"/>
  <c r="D24" i="29"/>
  <c r="C24" i="29"/>
  <c r="C22" i="29"/>
  <c r="D22" i="29"/>
  <c r="E22" i="29"/>
  <c r="E21" i="29"/>
  <c r="D21" i="29"/>
  <c r="C21" i="29"/>
  <c r="I39" i="32"/>
  <c r="I38" i="32"/>
  <c r="J37" i="32"/>
  <c r="J36" i="32"/>
  <c r="J35" i="32" l="1"/>
  <c r="I35" i="32"/>
  <c r="G21" i="29" l="1"/>
  <c r="H21" i="29"/>
  <c r="K35" i="32"/>
  <c r="I209" i="32"/>
  <c r="I208" i="32"/>
  <c r="J207" i="32"/>
  <c r="J206" i="32"/>
  <c r="I205" i="32"/>
  <c r="I202" i="32"/>
  <c r="I201" i="32"/>
  <c r="J200" i="32"/>
  <c r="J199" i="32"/>
  <c r="I113" i="32"/>
  <c r="I110" i="32" s="1"/>
  <c r="J112" i="32"/>
  <c r="J111" i="32"/>
  <c r="I107" i="32"/>
  <c r="I104" i="32" s="1"/>
  <c r="J106" i="32"/>
  <c r="J105" i="32"/>
  <c r="I102" i="32"/>
  <c r="I99" i="32" s="1"/>
  <c r="J101" i="32"/>
  <c r="J100" i="32"/>
  <c r="I86" i="32"/>
  <c r="I83" i="32" s="1"/>
  <c r="J85" i="32"/>
  <c r="J84" i="32"/>
  <c r="G39" i="29" l="1"/>
  <c r="J110" i="32"/>
  <c r="K110" i="32" s="1"/>
  <c r="G30" i="29"/>
  <c r="G33" i="29"/>
  <c r="I21" i="29"/>
  <c r="H26" i="29"/>
  <c r="G28" i="29"/>
  <c r="G29" i="29"/>
  <c r="G32" i="29"/>
  <c r="H44" i="29"/>
  <c r="H41" i="29"/>
  <c r="J99" i="32"/>
  <c r="K99" i="32" s="1"/>
  <c r="H40" i="29"/>
  <c r="J104" i="32"/>
  <c r="K104" i="32" s="1"/>
  <c r="H45" i="29"/>
  <c r="G41" i="29"/>
  <c r="G26" i="29"/>
  <c r="G45" i="29"/>
  <c r="G47" i="29"/>
  <c r="J83" i="32"/>
  <c r="H25" i="29" s="1"/>
  <c r="H47" i="29"/>
  <c r="J204" i="32"/>
  <c r="H49" i="29" s="1"/>
  <c r="G25" i="29"/>
  <c r="H34" i="29"/>
  <c r="G31" i="29"/>
  <c r="I204" i="32"/>
  <c r="G49" i="29" s="1"/>
  <c r="J198" i="32"/>
  <c r="I198" i="32"/>
  <c r="G48" i="29" s="1"/>
  <c r="G42" i="29" l="1"/>
  <c r="G37" i="29"/>
  <c r="G38" i="29"/>
  <c r="H43" i="29"/>
  <c r="H42" i="29"/>
  <c r="H31" i="29"/>
  <c r="I31" i="29" s="1"/>
  <c r="G44" i="29"/>
  <c r="I44" i="29" s="1"/>
  <c r="H46" i="29"/>
  <c r="G43" i="29"/>
  <c r="H39" i="29"/>
  <c r="I39" i="29" s="1"/>
  <c r="H33" i="29"/>
  <c r="I33" i="29" s="1"/>
  <c r="H27" i="29"/>
  <c r="H29" i="29"/>
  <c r="I29" i="29" s="1"/>
  <c r="H32" i="29"/>
  <c r="I32" i="29" s="1"/>
  <c r="I26" i="29"/>
  <c r="I25" i="29"/>
  <c r="H35" i="29"/>
  <c r="H36" i="29"/>
  <c r="H37" i="29"/>
  <c r="G35" i="29"/>
  <c r="H38" i="29"/>
  <c r="G27" i="29"/>
  <c r="I41" i="29"/>
  <c r="I45" i="29"/>
  <c r="I47" i="29"/>
  <c r="H30" i="29"/>
  <c r="I30" i="29" s="1"/>
  <c r="K204" i="32"/>
  <c r="K83" i="32"/>
  <c r="H28" i="29"/>
  <c r="I28" i="29" s="1"/>
  <c r="G40" i="29"/>
  <c r="I40" i="29" s="1"/>
  <c r="G36" i="29"/>
  <c r="G34" i="29"/>
  <c r="I34" i="29" s="1"/>
  <c r="I49" i="29"/>
  <c r="G46" i="29"/>
  <c r="K198" i="32"/>
  <c r="H48" i="29"/>
  <c r="I48" i="29" s="1"/>
  <c r="I54" i="32"/>
  <c r="I51" i="32" s="1"/>
  <c r="J53" i="32"/>
  <c r="J52" i="32"/>
  <c r="I33" i="32"/>
  <c r="I30" i="32" s="1"/>
  <c r="J32" i="32"/>
  <c r="J31" i="32"/>
  <c r="I28" i="32"/>
  <c r="I27" i="32" s="1"/>
  <c r="J27" i="32"/>
  <c r="I38" i="29" l="1"/>
  <c r="I37" i="29"/>
  <c r="I42" i="29"/>
  <c r="I46" i="29"/>
  <c r="I43" i="29"/>
  <c r="I27" i="29"/>
  <c r="I35" i="29"/>
  <c r="I36" i="29"/>
  <c r="J51" i="32"/>
  <c r="G52" i="29"/>
  <c r="G22" i="29"/>
  <c r="J30" i="32"/>
  <c r="K30" i="32" s="1"/>
  <c r="K27" i="32"/>
  <c r="H53" i="29" l="1"/>
  <c r="G53" i="29"/>
  <c r="H52" i="29"/>
  <c r="I52" i="29" s="1"/>
  <c r="K51" i="32"/>
  <c r="H22" i="29"/>
  <c r="I22" i="29" s="1"/>
  <c r="H24" i="29"/>
  <c r="G24" i="29"/>
  <c r="E20" i="29"/>
  <c r="D20" i="29"/>
  <c r="C20" i="29"/>
  <c r="M52" i="32"/>
  <c r="N52" i="32"/>
  <c r="I48" i="32"/>
  <c r="I47" i="32"/>
  <c r="I46" i="32"/>
  <c r="I45" i="32"/>
  <c r="J44" i="32"/>
  <c r="J42" i="32"/>
  <c r="I53" i="29" l="1"/>
  <c r="I24" i="29"/>
  <c r="G20" i="29"/>
  <c r="M53" i="32"/>
  <c r="O53" i="32" s="1"/>
  <c r="J41" i="32"/>
  <c r="I41" i="32"/>
  <c r="H16" i="30"/>
  <c r="G51" i="29" l="1"/>
  <c r="H51" i="29"/>
  <c r="H20" i="29"/>
  <c r="I20" i="29" s="1"/>
  <c r="K41" i="32"/>
  <c r="H11" i="30"/>
  <c r="I51" i="29" l="1"/>
  <c r="C14" i="29" l="1"/>
  <c r="D14" i="29"/>
  <c r="E14" i="29"/>
  <c r="C12" i="29"/>
  <c r="D12" i="29"/>
  <c r="E12" i="29"/>
  <c r="H14" i="29" l="1"/>
  <c r="G14" i="29" l="1"/>
  <c r="I14" i="29" l="1"/>
  <c r="D13" i="29" l="1"/>
  <c r="D11" i="29"/>
  <c r="C13" i="29" l="1"/>
  <c r="E13" i="29"/>
  <c r="G13" i="29" l="1"/>
  <c r="H13" i="29" l="1"/>
  <c r="I13" i="29" s="1"/>
  <c r="E11" i="29" l="1"/>
  <c r="C11" i="29"/>
  <c r="B9" i="30" l="1"/>
  <c r="H11" i="29" l="1"/>
  <c r="G11" i="29"/>
  <c r="J50" i="29" l="1"/>
  <c r="K50" i="29" s="1"/>
  <c r="J39" i="29"/>
  <c r="K39" i="29" s="1"/>
  <c r="J21" i="29"/>
  <c r="K21" i="29" s="1"/>
  <c r="J29" i="29"/>
  <c r="K29" i="29" s="1"/>
  <c r="J28" i="29"/>
  <c r="K28" i="29" s="1"/>
  <c r="J38" i="29"/>
  <c r="K38" i="29" s="1"/>
  <c r="J47" i="29"/>
  <c r="K47" i="29" s="1"/>
  <c r="J30" i="29"/>
  <c r="K30" i="29" s="1"/>
  <c r="J46" i="29"/>
  <c r="K46" i="29" s="1"/>
  <c r="J41" i="29"/>
  <c r="K41" i="29" s="1"/>
  <c r="J48" i="29"/>
  <c r="K48" i="29" s="1"/>
  <c r="J26" i="29"/>
  <c r="K26" i="29" s="1"/>
  <c r="J37" i="29"/>
  <c r="K37" i="29" s="1"/>
  <c r="J43" i="29"/>
  <c r="K43" i="29" s="1"/>
  <c r="J33" i="29"/>
  <c r="K33" i="29" s="1"/>
  <c r="J40" i="29"/>
  <c r="K40" i="29" s="1"/>
  <c r="J32" i="29"/>
  <c r="K32" i="29" s="1"/>
  <c r="J49" i="29"/>
  <c r="K49" i="29" s="1"/>
  <c r="J44" i="29"/>
  <c r="K44" i="29" s="1"/>
  <c r="J45" i="29"/>
  <c r="K45" i="29" s="1"/>
  <c r="J31" i="29"/>
  <c r="K31" i="29" s="1"/>
  <c r="J34" i="29"/>
  <c r="K34" i="29" s="1"/>
  <c r="J25" i="29"/>
  <c r="K25" i="29" s="1"/>
  <c r="J42" i="29"/>
  <c r="K42" i="29" s="1"/>
  <c r="J35" i="29"/>
  <c r="K35" i="29" s="1"/>
  <c r="J27" i="29"/>
  <c r="K27" i="29" s="1"/>
  <c r="J36" i="29"/>
  <c r="K36" i="29" s="1"/>
  <c r="J22" i="29"/>
  <c r="K22" i="29" s="1"/>
  <c r="J52" i="29"/>
  <c r="K52" i="29" s="1"/>
  <c r="J24" i="29"/>
  <c r="K24" i="29" s="1"/>
  <c r="J53" i="29"/>
  <c r="K53" i="29" s="1"/>
  <c r="J20" i="29"/>
  <c r="K20" i="29" s="1"/>
  <c r="J51" i="29"/>
  <c r="K51" i="29" s="1"/>
  <c r="J14" i="29"/>
  <c r="K14" i="29" s="1"/>
  <c r="J13" i="29"/>
  <c r="K13" i="29" s="1"/>
  <c r="I11" i="29"/>
  <c r="J11" i="29" s="1"/>
  <c r="K11" i="29" s="1"/>
  <c r="K54" i="29" l="1"/>
  <c r="G14" i="30" s="1"/>
  <c r="G12" i="29"/>
  <c r="E14" i="30" l="1"/>
  <c r="D14" i="30"/>
  <c r="F14" i="30"/>
  <c r="H12" i="29"/>
  <c r="H14" i="30" l="1"/>
  <c r="I12" i="29"/>
  <c r="J12" i="29" s="1"/>
  <c r="K12" i="29" s="1"/>
  <c r="K15" i="29" l="1"/>
  <c r="K56" i="29" s="1"/>
  <c r="G9" i="30" l="1"/>
  <c r="N15" i="29"/>
  <c r="L15" i="29"/>
  <c r="M15" i="29" s="1"/>
  <c r="G18" i="30" l="1"/>
  <c r="D9" i="30"/>
  <c r="D18" i="30" s="1"/>
  <c r="F9" i="30"/>
  <c r="F18" i="30" s="1"/>
  <c r="E9" i="30"/>
  <c r="E18" i="30" s="1"/>
  <c r="E20" i="30" l="1"/>
  <c r="F20" i="30"/>
  <c r="D19" i="30"/>
  <c r="E19" i="30" s="1"/>
  <c r="F19" i="30" s="1"/>
  <c r="D20" i="30"/>
  <c r="H9" i="30"/>
  <c r="L59" i="29" l="1"/>
  <c r="C14" i="30"/>
  <c r="C9" i="30"/>
  <c r="C18" i="30" s="1"/>
  <c r="D21" i="30" l="1"/>
  <c r="E21" i="30" l="1"/>
  <c r="F21" i="30" l="1"/>
</calcChain>
</file>

<file path=xl/sharedStrings.xml><?xml version="1.0" encoding="utf-8"?>
<sst xmlns="http://schemas.openxmlformats.org/spreadsheetml/2006/main" count="852" uniqueCount="325">
  <si>
    <t>Und</t>
  </si>
  <si>
    <t>M</t>
  </si>
  <si>
    <t>%</t>
  </si>
  <si>
    <t>TOTAL</t>
  </si>
  <si>
    <t>Ítem</t>
  </si>
  <si>
    <t>SINAPI/ COMP.</t>
  </si>
  <si>
    <t>Quant</t>
  </si>
  <si>
    <t>Total</t>
  </si>
  <si>
    <t>SERVIÇOS PRELIMINARES</t>
  </si>
  <si>
    <t>1.1</t>
  </si>
  <si>
    <t>SUB TOTAL</t>
  </si>
  <si>
    <t>CRONOGRAMA FÍSICO FINANCEIRO</t>
  </si>
  <si>
    <t>30dias</t>
  </si>
  <si>
    <t>60dias</t>
  </si>
  <si>
    <t>DESEMBOLSO ACUMULADO</t>
  </si>
  <si>
    <t>PERCENTUAL MENSAL ( % )</t>
  </si>
  <si>
    <t>PERCENTUAL ACUMULADO ( % )</t>
  </si>
  <si>
    <t>H</t>
  </si>
  <si>
    <t>SERT</t>
  </si>
  <si>
    <t>UN</t>
  </si>
  <si>
    <t/>
  </si>
  <si>
    <t>COMPOSICAO</t>
  </si>
  <si>
    <t>CHP</t>
  </si>
  <si>
    <t>SERVENTE COM ENCARGOS COMPLEMENTARES</t>
  </si>
  <si>
    <t>AUXILIAR DE ELETRICISTA COM ENCARGOS COMPLEMENTARES</t>
  </si>
  <si>
    <t>ELETRICISTA COM ENCARGOS COMPLEMENTARES</t>
  </si>
  <si>
    <t>INSUMO</t>
  </si>
  <si>
    <t>INEL</t>
  </si>
  <si>
    <t>COTAÇÃO</t>
  </si>
  <si>
    <t>2.1</t>
  </si>
  <si>
    <t>Material</t>
  </si>
  <si>
    <t>Mão de Obra</t>
  </si>
  <si>
    <t>ART - ANOTAÇÃO DE RESPONSABILIDADE TÉCNICA</t>
  </si>
  <si>
    <t>2.2</t>
  </si>
  <si>
    <t>Risco</t>
  </si>
  <si>
    <t>PIS</t>
  </si>
  <si>
    <t>% serv.</t>
  </si>
  <si>
    <t>88264</t>
  </si>
  <si>
    <t>88247</t>
  </si>
  <si>
    <t>88316</t>
  </si>
  <si>
    <t>ANOTAÇÃO DE RESPONSABILIDADE TÉCNICA COM VALOR DE CONTRATO ACIMA DE R$15.000,00</t>
  </si>
  <si>
    <t>21127</t>
  </si>
  <si>
    <t>FITA ISOLANTE ADESIVA ANTICHAMA, USO ATE 750 V, EM ROLO DE 19 MM X 5 M</t>
  </si>
  <si>
    <t>90dias</t>
  </si>
  <si>
    <t>Referência</t>
  </si>
  <si>
    <t>Cóigos</t>
  </si>
  <si>
    <t>Especificações</t>
  </si>
  <si>
    <t>Unidade</t>
  </si>
  <si>
    <t>Coef</t>
  </si>
  <si>
    <t>V. Unit</t>
  </si>
  <si>
    <t>Materiais</t>
  </si>
  <si>
    <t>M. de Obra</t>
  </si>
  <si>
    <t>COMPOSIÇÃO UNITÁRIA DE PREÇOS</t>
  </si>
  <si>
    <t>Especificação</t>
  </si>
  <si>
    <t>M3</t>
  </si>
  <si>
    <t>88262</t>
  </si>
  <si>
    <t>CARPINTEIRO DE FORMAS COM ENCARGOS COMPLEMENTARES</t>
  </si>
  <si>
    <t>KG</t>
  </si>
  <si>
    <t>M2</t>
  </si>
  <si>
    <t>CANT</t>
  </si>
  <si>
    <t>PLACA DE OBRA EM CHAPA DE ACO GALVANIZADO</t>
  </si>
  <si>
    <t>94962</t>
  </si>
  <si>
    <t>CONCRETO MAGRO PARA LASTRO, TRAÇO 1:4,5:4,5 (CIMENTO/ AREIA MÉDIA/ BRITA 1)  - PREPARO MECÂNICO COM BETONEIRA 400 L. AF_07/2016</t>
  </si>
  <si>
    <t>4417</t>
  </si>
  <si>
    <t>SARRAFO DE MADEIRA NAO APARELHADA *2,5 X 7* CM, MACARANDUBA, ANGELIM OU EQUIVALENTE DA REGIAO</t>
  </si>
  <si>
    <t>4491</t>
  </si>
  <si>
    <t>PECA DE MADEIRA NATIVA / REGIONAL 7,5 X 7,5CM (3X3) NAO APARELHADA (P/FORMA)</t>
  </si>
  <si>
    <t>4813</t>
  </si>
  <si>
    <t>PLACA DE OBRA (PARA CONSTRUCAO CIVIL) EM CHAPA GALVANIZADA *N. 22*, DE *2,0 X 1,125* M</t>
  </si>
  <si>
    <t>5075</t>
  </si>
  <si>
    <t>PREGO DE ACO POLIDO COM CABECA 18 X 30 (2 3/4 X 10)</t>
  </si>
  <si>
    <t>1.3</t>
  </si>
  <si>
    <t>CUSTO</t>
  </si>
  <si>
    <t>COMPOSIÇÃO</t>
  </si>
  <si>
    <t>ADMT</t>
  </si>
  <si>
    <t>PLANILHA ORÇAMENTÁRIA</t>
  </si>
  <si>
    <t>TOTAL SERVIÇOS PRELIMINARES</t>
  </si>
  <si>
    <t xml:space="preserve">DESEMBOLSO MENSAL COM BDI </t>
  </si>
  <si>
    <t>74209/001</t>
  </si>
  <si>
    <t>GUINDAUTO HIDRÁULICO, CAPACIDADE MÁXIMA DE CARGA 3300 KG, MOMENTO MÁXIMO DE CARGA 5,8 TM, ALCANCE MÁXIMO HORIZONTAL 7,60 M, INCLUSIVE CAMINHÃO TOCO PBT 16.000 KG, POTÊNCIA DE 189 CV - CHP DIURNO. AF_03/2016</t>
  </si>
  <si>
    <t xml:space="preserve">COMPOSIÇÃO </t>
  </si>
  <si>
    <t>91634</t>
  </si>
  <si>
    <t>GUINDAUTO HIDRÁULICO, CAPACIDADE MÁXIMA DE CARGA 6500 KG, MOMENTO MÁXIMO DE CARGA 5,8 TM, ALCANCE MÁXIMO HORIZONTAL 7,60 M, INCLUSIVE CAMINHÃO TOCO PBT 9.700 KG, POTÊNCIA DE 160 CV - CHP DIURNO. AF_08/2015</t>
  </si>
  <si>
    <t xml:space="preserve">V. Unit </t>
  </si>
  <si>
    <t>SERP</t>
  </si>
  <si>
    <t>73847/001</t>
  </si>
  <si>
    <t>MÊS</t>
  </si>
  <si>
    <t>CREA-MT</t>
  </si>
  <si>
    <t>OSRAM 90W</t>
  </si>
  <si>
    <t>CUSTO UNITÁRIO</t>
  </si>
  <si>
    <t>PHILIPS</t>
  </si>
  <si>
    <t>OBRA: MELHORIA, MODERNIZAÇÃO E IMPLANTAÇÃO DO SISTEMA DE ILUMINAÇÃO PÚBLICA DO TIPO ORNAMENTAL COM LUMINÁRIAS LED</t>
  </si>
  <si>
    <t>BRAÇO TUBULAR EM AÇO GALVANIZADO A QUENTE COM  4,0m   COMPRIMENTO  x 48mm x 3,00mm +/- 0,5mm DE ESPESSURA, MODELO ASA DE BORBOLETA.</t>
  </si>
  <si>
    <t xml:space="preserve">SELA PARA CRUZETA EM POSTE CIRCULAR EM AÇO GALVANIZADO A QUENTE, NAS DIMENSÕES 110x116mm </t>
  </si>
  <si>
    <t>PARAFUSO FRANCÊS 70  X 16mm PARA CINTA CIRCULAR COM PORCA QUADRADA</t>
  </si>
  <si>
    <t>CINTA  EM CHAPA DE AÇO GALVANIZADO A QUENTE NAS DIMENSÕES 160mm PARA INSTALAÇÃO DE ESTRUTURAS EM POSTE DE CONCRETO CIRCULAR, COM DOIS PARAFUSOS FRANCÊS 16x70mm E PORCA QUADRADA.</t>
  </si>
  <si>
    <t>BRAÇO TUBULAR EM AÇO GALVANIZADO A QUENTE COM  4,0m   COMPRIMENTO  x 48mm x 3,00mm +/- 0,5mm DE ESPESSURA, MODELO ASA DE BORBOLETA, CONFORME PLANTA DO PROJETO E ACESSÓRIOS DE FIXAÇÃO - FORNECIMENTO E INSTALACÃO</t>
  </si>
  <si>
    <t>1.2</t>
  </si>
  <si>
    <t>1.4</t>
  </si>
  <si>
    <t>X</t>
  </si>
  <si>
    <t>SERVIÇOS ELÉTRICA</t>
  </si>
  <si>
    <t>Valor sem BDI</t>
  </si>
  <si>
    <t>Valor com BDI</t>
  </si>
  <si>
    <t>TOTAL DAS OBRAS  COM BDI:</t>
  </si>
  <si>
    <t>CÓD. COMP.</t>
  </si>
  <si>
    <t>Total (R$)</t>
  </si>
  <si>
    <t>ALUGUEL CONTAINER/ESCRIT INCL INST ELET LARG=2,20 COMP=6,20MALT=2,50M CHAPA ACO C/NERV TRAPEZ FORRO C/ISOL TERMO/ACUSTICO CHASSIS REFORC PISO COMPENS NAVAL EXC TRANSP/CARGA/DESCARGA</t>
  </si>
  <si>
    <t>10776</t>
  </si>
  <si>
    <t>LOCACAO DE CONTAINER 2,30  X  6,00 M, ALT. 2,50 M, PARA ESCRITORIO, SEM DIVISORIAS INTERNAS E SEM SANITARIO</t>
  </si>
  <si>
    <t>MES</t>
  </si>
  <si>
    <t>REMOÇÃO DE LUMINÁRIAS E ACESSÓRIOS EM BRAÇOS DE 3 METROS DA REDE DE ILUMINAÇÃO PÚBLICA, COM UTILIZAÇÃO DE EQUIPAMENTO MUNCK COM CESTO AÉREO.</t>
  </si>
  <si>
    <t xml:space="preserve">IMPLANTAÇÃO DO SISTEMA DE ILUMINAÇÃO ORNAMENTAL </t>
  </si>
  <si>
    <t>MOVT</t>
  </si>
  <si>
    <t>93358</t>
  </si>
  <si>
    <t>ESCAVAÇÃO MANUAL DE VALAS. AF_03/2016 (VALA PARA TUBULAÇÃO E ATERRAMENTO DO TRANSFORMADOR)</t>
  </si>
  <si>
    <t>REATERRO DE VALA COM COMPACTAÇÃO MANUAL</t>
  </si>
  <si>
    <t>FUES</t>
  </si>
  <si>
    <t>CONCRETO FCK = 15MPA, TRAÇO 1:3,4:3,5 (CIMENTO/ AREIA MÉDIA/ BRITA 1) - PREPARO MANUAL. AF_07/2016 (PARA TRAVESSIAS E BASES DOS POSTES)</t>
  </si>
  <si>
    <t>AREIA MEDIA - POSTO JAZIDA/FORNECEDOR (RETIRADO NA JAZIDA, SEM TRANSPORTE)</t>
  </si>
  <si>
    <t>1379</t>
  </si>
  <si>
    <t>CIMENTO PORTLAND COMPOSTO CP II-32</t>
  </si>
  <si>
    <t>4721</t>
  </si>
  <si>
    <t>PEDRA BRITADA N. 1 (9,5 a 19 MM) POSTO PEDREIRA/FORNECEDOR, SEM FRETE</t>
  </si>
  <si>
    <t xml:space="preserve">74157/004 </t>
  </si>
  <si>
    <t>LANCAMENTO/APLICACAO MANUAL DE CONCRETO EM FUNDACOES</t>
  </si>
  <si>
    <t>M³</t>
  </si>
  <si>
    <t>PEDREIRO COM ENCARGOS COMPLEMENTARES</t>
  </si>
  <si>
    <t>90586</t>
  </si>
  <si>
    <t>VIBRADOR DE IMERSÃO, DIÂMETRO DE PONTEIRA 45MM, MOTOR ELÉTRICO TRIFÁSICO POTÊNCIA DE 2 CV - CHP DIURNO. AF_06/2015</t>
  </si>
  <si>
    <t>ELETRODUTO PVC FLEXÍVEL CORRUGADO, DN 32 MM (1"), PARA CIRCUITOS TERMINAIS, INSTALADO EM SOLO - FORNECIMENTO E INSTALAÇÃO.</t>
  </si>
  <si>
    <t>ELETRODUTO PVC FLEXIVEL CORRUGADO, REFORCADO, COR LARANJA, DE 32 MM, PARA CABEAMENTO SUBTERRÂNEO</t>
  </si>
  <si>
    <t>CAIXA DE PASSAGEM 30X30X40 COM TAMPA E DRENO BRITA</t>
  </si>
  <si>
    <t>COMÉRCIO</t>
  </si>
  <si>
    <t>88309</t>
  </si>
  <si>
    <t>INHI</t>
  </si>
  <si>
    <t>TUBO DE AÇO GALVANIZADO COM COSTURA, CLASSE MÉDIA, DN 40 (1 1/2"), CONEXÃO ROSQUEADA, INSTALADO EM REDE DE ALIMENTAÇÃO PARA HIDRANTE - FORNECIMENTO E INSTALAÇÃO. AF_12/2015</t>
  </si>
  <si>
    <t>AUXILIAR DE ENCANADOR OU BOMBEIRO HIDRÁULICO COM ENCARGOS COMPLEMENTARES</t>
  </si>
  <si>
    <t>ENCANADOR OU BOMBEIRO HIDRÁULICO COM ENCARGOS COMPLEMENTARES</t>
  </si>
  <si>
    <t>TUBO ACO GALV C/ COSTURA DIN 2440/NBR 5580 CLASSE MEDIA DN 1.1/2" (40MM) E=3,25MM - 3,61KG/M</t>
  </si>
  <si>
    <t>CURVA 90 GRAUS, PVC, ROSCÁVEL, DN 50MM (11/2") - FORNECIMENTO E INSTALAÇÃO.</t>
  </si>
  <si>
    <t>88248</t>
  </si>
  <si>
    <t>88267</t>
  </si>
  <si>
    <t>CURVA 90 GRAUS, LONGA, DE PVC RIGIDO ROSCAVEL, DE 1 1/2", PARA ELETRODUTO</t>
  </si>
  <si>
    <t>LUVA PARA ELETRODUTO, PVC, ROSCÁVEL, DN 50 MM (1 1/2") - FORNECIMENTO E INSTALAÇÃO.</t>
  </si>
  <si>
    <t>LUVA EM PVC RIGIDO ROSCAVEL, DE 1 1/2", PARA ELETRODUTO</t>
  </si>
  <si>
    <t xml:space="preserve">DISJUNTOR MONOPOLAR TIPO DIN, CORRENTE NOMINAL DE 2A -  FORNECIMENTO E INSTALAÇÃO. </t>
  </si>
  <si>
    <t>COMERCIO</t>
  </si>
  <si>
    <t>93672</t>
  </si>
  <si>
    <t>DISJUNTOR TRIPOLAR TIPO DIN, CORRENTE NOMINAL DE 40A - FORNECIMENTO E INSTALAÇÃO. AF_04/2016</t>
  </si>
  <si>
    <t>TERMINAL A COMPRESSAO EM COBRE ESTANHADO PARA CABO 10 MM2, 1 FURO E 1 COMPRESSAO, PARA PARAFUSO DE FIXACAO M6</t>
  </si>
  <si>
    <t>DISJUNTOR TIPO DIN/IEC, TRIPOLAR DE 10 ATE 50A</t>
  </si>
  <si>
    <t>ELETROTÉCNICO COM ENCARGOS COMPLEMENTARES</t>
  </si>
  <si>
    <t>BASE PARA FUSÍVEL TIPO NH - TAMANHO 00 - FORNECIMENTO E INSTALACAO</t>
  </si>
  <si>
    <t xml:space="preserve">COMÉRCIO </t>
  </si>
  <si>
    <t>RELE FOTOELETRICO P/ COMANDO DE ILUMINACAO EXTERNA 220V/1000W COM BASE - FORNECIMENTO E INSTALACAO</t>
  </si>
  <si>
    <t>91929</t>
  </si>
  <si>
    <t>CABO DE COBRE FLEXÍVEL ISOLADO, 4 MM², ANTI-CHAMA 0,6/1,0 KV, PARA CIRCUITOS TERMINAIS - FORNECIMENTO E INSTALAÇÃO. AF_12/2015 (cor verde para aterramento)</t>
  </si>
  <si>
    <t>1021</t>
  </si>
  <si>
    <t>CABO DE COBRE, FLEXIVEL, CLASSE 4 OU 5, ISOLACAO EM PVC/A, ANTICHAMA BWF-B, COBERTURA PVC-ST1, ANTICHAMA BWF-B, 1 CONDUTOR, 0,6/1 KV, SECAO NOMINAL 4 MM2</t>
  </si>
  <si>
    <t>91931</t>
  </si>
  <si>
    <t>CABO DE COBRE FLEXÍVEL ISOLADO, 6 MM², ANTI-CHAMA 0,6/1,0 KV, PARA CIRCUITOS TERMINAIS - FORNECIMENTO E INSTALAÇÃO. AF_12/2015</t>
  </si>
  <si>
    <t>994</t>
  </si>
  <si>
    <t>CABO DE COBRE, FLEXIVEL, CLASSE 4 OU 5, ISOLACAO EM PVC/A, ANTICHAMA BWF-B, COBERTURA PVC-ST1, ANTICHAMA BWF-B, 1 CONDUTOR, 0,6/1 KV, SECAO NOMINAL 6 MM2</t>
  </si>
  <si>
    <t>91933</t>
  </si>
  <si>
    <t>CABO DE COBRE FLEXÍVEL ISOLADO, 10 MM², ANTI-CHAMA 0,6/1,0 KV, PARA CIRCUITOS TERMINAIS - FORNECIMENTO E INSTALAÇÃO. AF_12/2015</t>
  </si>
  <si>
    <t>1020</t>
  </si>
  <si>
    <t>CABO DE COBRE ISOLAMENTO ANTI-CHAMA 0,6/1KV 10MM2 (1 CONDUTOR) TP SINTENAX   PIRELLI OU EQUIV</t>
  </si>
  <si>
    <t>CABO DE COBRE FLEXÍVEL ISOLADO, 16 MM², ANTI-CHAMA 0,6/1,0 KV, PARA CIRCUITOS TERMINAIS - FORNECIMENTO E INSTALAÇÃO. AF_12/2015</t>
  </si>
  <si>
    <t>CABO DE COBRE, FLEXIVEL, CLASSE 4 OU 5, ISOLACAO EM PVC/A, ANTICHAMA BWF-B, COBERTURA PVC-ST1, ANTICHAMA BWF-B, 1 CONDUTOR, 0,6/1 KV, SECAO NOMINAL 16 MM2</t>
  </si>
  <si>
    <t>CABO DE COBRE FLEXÍVEL ISOLADO, 25 MM², ANTI-CHAMA 0,6/1,0 KV, PARA CIRCUITOS TERMINAIS - FORNECIMENTO E INSTALAÇÃO. AF_12/2015</t>
  </si>
  <si>
    <t>CABO DE COBRE, FLEXIVEL, CLASSE 4 OU 5, ISOLACAO EM PVC/A, ANTICHAMA BWF-B, COBERTURA PVC-ST1, ANTICHAMA BWF-B, 1 CONDUTOR, 0,6/1 KV, SECAO NOMINAL 25 MM2</t>
  </si>
  <si>
    <t>CABO DE COBRE FLEXÍVEL ISOLADO, 35 MM², ANTI-CHAMA 0,6/1,0 KV, PARA CIRCUITOS TERMINAIS - FORNECIMENTO E INSTALAÇÃO. AF_12/2015</t>
  </si>
  <si>
    <t>CABO DE COBRE, FLEXIVEL, CLASSE 4 OU 5, ISOLACAO EM PVC/A, ANTICHAMA BWF-B, COBERTURA PVC-ST1, ANTICHAMA BWF-B, 1 CONDUTOR, 0,6/1 KV, SECAO NOMINAL 35 MM2</t>
  </si>
  <si>
    <t>CABO DE COBRE FLEXÍVEL ISOLADO, 2,5 MM², ANTI-CHAMA 450/750 V, PARA CIRCUITOS TERMINAIS - FORNECIMENTO E INSTALAÇÃO. AF_12/2015.</t>
  </si>
  <si>
    <t>CABO DE COBRE, FLEXIVEL, CLASSE 4 OU 5, ISOLACAO EM PVC/A, ANTICHAMA BWF-B, 1CONDUTOR, 450/750 V, SECAO NOMINAL 2,5 MM2.</t>
  </si>
  <si>
    <t>AVENIDA DOM SEBASTIÃO</t>
  </si>
  <si>
    <t>TROCA DE LUMINÁRIAS EM BRAÇOS DA REDE DE ILUMINAÇÃO PÚBLICA</t>
  </si>
  <si>
    <t>IMPLANTAÇÃO DE ILUMINAÇÃO EM CANTEIRO CENTRAL</t>
  </si>
  <si>
    <t>POSTE DE AÇO TELECÔNICO CURVO DUPLO, ENGASTAMENTO DIRETO AO SOLO, SEM JANELA DE INSPEÇÃO H=9M - FORNECIMENTO E INSTALAÇÃO</t>
  </si>
  <si>
    <t>POSTE TELECÔNICO EM ACO GALVANIZADO, CURVO, BRACO DUPLO, ENGASTADO, H = 9 M, DIAMETRO INFERIOR = *135* MM</t>
  </si>
  <si>
    <t>LUMINÁRIA EM LED PARA ILUMINAÇÃO PÚBLICA,100W,LED AC, LENTES POLICARBONATO,CORPO EM ALUMÍNIO INJ, 220V, FP0,97, PROT. DPS 10KV, IP65, IK10, TEMP. COR 5700K, IRC= OU 70%, V. ÚTIL 50.000H, 110LM/W, LM79, GAR.5 ANOS, MODELO GL316 G-LIGHT OU SIMILAR</t>
  </si>
  <si>
    <t>CIDADE : MUNICÍPIO SEDE DE PRIMAVERA DO LESTE - MT</t>
  </si>
  <si>
    <t>LUMINÁRIA EM LED PARA ILUMINAÇÃO PÚBLICA, 100W, LED AC, LENTES POLICARBONATO,CORPO EM ALUMÍNIO INJ, 220V, FP0,97, PROT. DPS 10KV, IP65, IK10, TEMP. COR 5700K, IRC= OU 70%, V. ÚTIL 50.000H, 110LM/W, LM79, GAR.5 ANOS, MODELO GL316 G-LIGHT OU SIMILAR - FORNECIMENTO E INSTALAÇÃO.</t>
  </si>
  <si>
    <t>BASE DE PREÇO SINAPI-MT-01/2018</t>
  </si>
  <si>
    <t>BASE PARA RELE COM SUPORTE METALICO</t>
  </si>
  <si>
    <t>2.1.1</t>
  </si>
  <si>
    <t>2.1.2</t>
  </si>
  <si>
    <t>2.1.3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</si>
  <si>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</si>
  <si>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</si>
  <si>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</si>
  <si>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</si>
  <si>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</si>
  <si>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</si>
  <si>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</si>
  <si>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</si>
  <si>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</si>
  <si>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</si>
  <si>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</si>
  <si>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</si>
  <si>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</si>
  <si>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</si>
  <si>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</si>
  <si>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</si>
  <si>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</si>
  <si>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</si>
  <si>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</si>
  <si>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</si>
  <si>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</si>
  <si>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</si>
  <si>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</si>
  <si>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</si>
  <si>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</si>
  <si>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</si>
  <si>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</si>
  <si>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</si>
  <si>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2.2.29</t>
  </si>
  <si>
    <t>2.2.30</t>
  </si>
  <si>
    <t>LOCAIL: AVENIDA DOM SEBASTIÃO</t>
  </si>
  <si>
    <t>REFERENCIA</t>
  </si>
  <si>
    <t>Resolução CREA 1.067, de 26/09/2015 (PL 1758/2017)</t>
  </si>
  <si>
    <t>MOBILIZACAO E DESMOBILIZAÇÃO DE 01 EQUIPAMENTO CAMINHÃO MUNCK COM CESTO AÉREO, DISTANCIA DE 10KM ATE 20KM</t>
  </si>
  <si>
    <t>COMPOSIÇÃO REFERÊNCIA: SINAPI - 91844</t>
  </si>
  <si>
    <t>COMPOSIÇÃO REFERÊNCIA: SINAPI - 83401</t>
  </si>
  <si>
    <t xml:space="preserve">COMPOSIÇÃO  </t>
  </si>
  <si>
    <t>LUMINARIA DE LED PARA ILUMINACAO PÚBLICA, COM POTÊNCIA DE CONSUMO DE 150W E EFICIÊNCIA 110LM/W, FLUXO TOTAL MÍNIMO 16.500LM,  TEMPERATURA DE COR= 5000K +/- 400K, IRC&gt;70, TENSÃO DE ALIMENTAÇÃO ~90 A 277V E DISPOSITIVO DE PROTEÇÃO CONTRA DESCARGAS ATMOSFÉRICA-DPS, IP-66,  MODELO MAESTRA DA ILUMATIC, STREET LIGHTING GREENVISION BRP373 DA  PHILIPS, LEDVANCE®SKY DA OSRAM OU EQUIVALENTE - FORNECIMENTO E INSTALAÇÃO (OBS.: DEVERÃO SER OBSERVADOS OS REQUISITOS MÍNIMOS, CONFORME TERMO DE REFERÊNCIA DAS LUMINÁRIAS, CONSTANTES NO MEMORIAL DESCRITIVO).</t>
  </si>
  <si>
    <t>LUMINARIA DE LED PARA ILUMINACAO PÚBLICA, COM POTÊNCIA DE CONSUMO DE 150W E EFICIENCIA 110LM/W, FLUXO TOTAL MÍNIMO 16.500LM,  TEMPERATURA DE COR= 5000K +/- 400K, IRC&gt;70, TENSÃO DE ALIMENTAÇÃO ~90 A 277V E DISPOSITIVO DE PROTEÇÃO CONTRA DESCARGAS ATMOSFÉRICA-DPS, IP-66</t>
  </si>
  <si>
    <t>COMPOSIÇÃO REFERÊNCIA: SINAPI 74231/001</t>
  </si>
  <si>
    <t>ELETRODUTO PVC FLEXIVEL CORRUGADO, COR AMARELA, DE 25 MM</t>
  </si>
  <si>
    <t>COMPOSIÇÃO REFERÊNCIA: SINAPI - 93020</t>
  </si>
  <si>
    <t>TERMINAL A COMPRESSAO EM COBRE ESTANHADO PARA CABO 2,5 MM2, 1 FURO E 1 COMPRESSAO, PARA PARAFUSO DE FIXACAO M5</t>
  </si>
  <si>
    <t>DISJUNTOR TIPO DIN/IEC, MONOPOLAR DE 6 ATE 32A</t>
  </si>
  <si>
    <t>COMPOSIÇÃO REFERÊNCIA: SINAPI - 93653</t>
  </si>
  <si>
    <t>83463</t>
  </si>
  <si>
    <t>QUADRO DE DISTRIBUICAO DE ENERGIA EM CHAPA DE ACO GALVANIZADO, PARA 12 DISJUNTORES TERMOMAGNETICOS MONOPOLARES, COM BARRAMENTO TRIFASICO E NEUTRO - FORNECIMENTO E INSTALACAO</t>
  </si>
  <si>
    <t>13393</t>
  </si>
  <si>
    <t>QUADRO DE DISTRIBUICAO COM BARRAMENTO TRIFASICO, DE EMBUTIR, EM CHAPA DE ACO GALVANIZADO, PARA 12 DISJUNTORES DIN, 100 A</t>
  </si>
  <si>
    <t>96985</t>
  </si>
  <si>
    <t>HASTE DE ATERRAMENTO 5/8  PARA SPDA - FORNECIMENTO E INSTALAÇÃO. AF_12/2017</t>
  </si>
  <si>
    <t>3379</t>
  </si>
  <si>
    <t>!EM PROCESSO DE DESATIVACAO! HASTE DE ATERRAMENTO EM ACO COM 3,00 M DE COMPRIMENTO E DN = 5/8", REVESTIDA COM BAIXA CAMADA DE COBRE, SEM CONECTOR</t>
  </si>
  <si>
    <t>CONTATOR TRIPOLAR I NOMINAL 36A - FORNECIMENTO E INSTALACAO INCLUSIVE ELETROTÉCNICO</t>
  </si>
  <si>
    <t>CONTATOR TRIPOLAR, CORRENTE DE *38* A, TENSAO NOMINAL DE *500* V, CATEGORIA AC-2 E AC-3</t>
  </si>
  <si>
    <t>FUSÍVEL TIPO NH 30A - TAMANHO 00 - FORNECIMENTO E INSTALACAO</t>
  </si>
  <si>
    <t>FUSIVEL NH 36 A TAMANHO 00, CAPACIDADE DE INTERRUPCAO DE 120 KA, TENSAO NOMIMNAL DE 500 V</t>
  </si>
  <si>
    <t>COMPOSIÇÃO REFERÊNCIA: SINAPI - 72330</t>
  </si>
  <si>
    <t>13374</t>
  </si>
  <si>
    <t>BASE PARA FUSIVEIS NH DE 6A A 160A</t>
  </si>
  <si>
    <t>COMPOSIÇÃO REFERÊNCIA: SINAPI - 83487</t>
  </si>
  <si>
    <t>RELE FOTOELETRICO/ELETRÔNICO 1000W/220V SEM BASE</t>
  </si>
  <si>
    <t>COMPOSIÇÃO REFERÊNCIA: SINAPI - 83399</t>
  </si>
  <si>
    <t>91926</t>
  </si>
  <si>
    <t>CABO DE COBRE FLEXÍVEL ISOLADO, 2,5 MM², ANTI-CHAMA 450/750 V, PARA CIRCUITOS TERMINAIS - FORNECIMENTO E INSTALAÇÃO. AF_12/2015</t>
  </si>
  <si>
    <t>1014</t>
  </si>
  <si>
    <t>CABO DE COBRE, FLEXIVEL, CLASSE 4 OU 5, ISOLACAO EM PVC/A, ANTICHAMA BWF-B, 1 CONDUTOR, 450/750 V, SECAO NOMINAL 2,5 MM2</t>
  </si>
  <si>
    <t>COMPOSIÇÃO REFERÊNCIA: SINAPI - 73769/003</t>
  </si>
  <si>
    <t>POSTE CONCRETO SEÇÃO CIRCULAR COMPRIMENTO=15M  E CARGA NOMINAL 200KG INCLUSIVE ESCAVACAO EXCLUSIVE TRANSPORTE - FORNECIMENTO E COLOCAÇÃO</t>
  </si>
  <si>
    <t>POSTE DE CONCRETO CIRCULAR, 200 KG, H = 15 M (NBR 8451)</t>
  </si>
  <si>
    <t>92873</t>
  </si>
  <si>
    <t>LANÇAMENTO COM USO DE BALDES, ADENSAMENTO E ACABAMENTO DE CONCRETO EM ESTRUTURAS. AF_12/2015</t>
  </si>
  <si>
    <t>94969</t>
  </si>
  <si>
    <t>CONCRETO FCK = 15MPA, TRAÇO 1:3,4:3,5 (CIMENTO/ AREIA MÉDIA/ BRITA 1)  - PREPARO MECÂNICO COM BETONEIRA 600 L. AF_07/2016</t>
  </si>
  <si>
    <t>COMPOSIÇÃO REFERÊNCIA: SINAPI - 73783/008</t>
  </si>
  <si>
    <t>LOCAIS: AVENIDA DOM SEBASTIÃO</t>
  </si>
  <si>
    <t>CIDADE: PRIMAVERA DO LESTE/MT</t>
  </si>
  <si>
    <r>
      <t xml:space="preserve">VERIFICAÇÃO DO BDI - ACÓRDÃO 2.622/2013      </t>
    </r>
    <r>
      <rPr>
        <b/>
        <sz val="10"/>
        <rFont val="Cambria"/>
        <family val="1"/>
        <scheme val="major"/>
      </rPr>
      <t xml:space="preserve"> Rev 02</t>
    </r>
  </si>
  <si>
    <t>DADOS INICIAIS</t>
  </si>
  <si>
    <t>TIPO DE OBRA:</t>
  </si>
  <si>
    <t>Construção e Manutenção de Estações e Redes de Distribuição de Energia Elétrica</t>
  </si>
  <si>
    <t>ENQUADRAMENTO NA DESONERAÇÃO CONFORME LEI N° 12.844/2013:*</t>
  </si>
  <si>
    <t>NÃO</t>
  </si>
  <si>
    <t>*Uso de encargos sociais desonerados na elaboração do orçamento</t>
  </si>
  <si>
    <t>ENQUADRAM-SE NO TIPO SELECIONADO:</t>
  </si>
  <si>
    <t>CÁLCULO DOS IMPOSTOS</t>
  </si>
  <si>
    <t xml:space="preserve">TRIBUTOS (impostos COFINS 3%, e PIS 0,65%) </t>
  </si>
  <si>
    <t>ISS BRUTO % (LEI MUNICIPAL):</t>
  </si>
  <si>
    <t>% INCIDÊNCIA (M.OBRA)*</t>
  </si>
  <si>
    <t>ISS LÍQUIDO</t>
  </si>
  <si>
    <t>TOTAL IMPOSTOS</t>
  </si>
  <si>
    <t>*Incidência do total do contrato que representa mão de obra para compor a base de cálculo conf. legislação municipal.</t>
  </si>
  <si>
    <t>VERFICAÇÃO E CÁLCULO DO BDI</t>
  </si>
  <si>
    <t>ITEM COMPONENTE</t>
  </si>
  <si>
    <t>1º QUARTIL</t>
  </si>
  <si>
    <t>MÉDIO</t>
  </si>
  <si>
    <t>3º QUARTIL</t>
  </si>
  <si>
    <t>Adotado</t>
  </si>
  <si>
    <t>Cálculo arredondado</t>
  </si>
  <si>
    <t>Administração Central</t>
  </si>
  <si>
    <t>Seguro e Garantia</t>
  </si>
  <si>
    <t>Despesas Financeiras</t>
  </si>
  <si>
    <t>Lucro</t>
  </si>
  <si>
    <t>Impostos</t>
  </si>
  <si>
    <t>BDI CALCULADO</t>
  </si>
  <si>
    <t>LIMITES DO BDI</t>
  </si>
  <si>
    <t>CORREÇÃO DA DESONERAÇÃO</t>
  </si>
  <si>
    <t>BDI CALCULADO C/ DESONERAÇÃO:</t>
  </si>
  <si>
    <t>Contribuição Previdenciária sobre a Receita Bruta (CPRB)</t>
  </si>
  <si>
    <t>BANCO DE DADOS</t>
  </si>
  <si>
    <t>TIPO DE OBRA</t>
  </si>
  <si>
    <t>CÓDIGO</t>
  </si>
  <si>
    <t>ENQUARAMENTO</t>
  </si>
  <si>
    <t>Construção de edificios</t>
  </si>
  <si>
    <t>A construção e reforma de: edifícios, unidades habitacionais, escolas, hospitais, hotéis, restaurantes, armazéns e depósitos, edifícios para uso agropecuário, estações para trens e metropolitanos, estádios esportivos e quadras cobertas, instalações para embarque e desembarque de passageiros (em aeroportos, rodoviárias, portos, etc.), penitenciárias e presídios, a construção de edifícios industriais (fábricas, oficinas, galpões industriais, etc.), conforme classificação 4120-4 do CNAE 2.0. Também enquadram-se pórticos, mirantes e outros edifícios de finalidade turística.</t>
  </si>
  <si>
    <t>Construção de rodovias e ferrovias</t>
  </si>
  <si>
    <t>A construção e recuperação de: auto-estradas, rodovias e outras vias não-urbanas para passagem de veículos, vias férreas de superfície ou subterrâneas (inclusive para metropolitanos), pistas de aeroportos. Esta classe compreende também: a pavimentação de auto-estradas, rodovias e outras vias não-urbanas; construção de pontes, viadutos e túneis; a instalação de barreiras acústicas; a construção de praças de pedágio; a sinalização com pintura em rodovias e aeroportos; a instalação de placas de sinalização de tráfego e semelhantes, conforme classificação 4211-1 do CNAE 2.0. Também enquadram-se a construção, pavimentação e sinalização de vias urbanas, ruas e locais para estacionamento de veículos; a construção de praças e calçadas para pedestres; elevados, passarelas e ciclovias; metrô e VLT.</t>
  </si>
  <si>
    <t>Construção de Redes de Abastecimento de Água, Coleta de Esgoto e Construções Correlatas</t>
  </si>
  <si>
    <t>A construção de sistemas para o abastecimento de água tratada: reservatórios de distribuição, estações elevatórias de bombeamento, linhas principais de adução de longa e média distância e redes de distribuição de água; a construção de redes de coleta de esgoto, inclusive de interceptores, estações de tratamento de esgoto (ETE), estações de bombeamento de esgoto (EBE); a construção de galerias pluviais (obras de micro e macro drenagem). Esta classe compreende também: as obras de irrigação (canais); a manutenção de redes de abastecimento de água tratada; a manutenção de redes de coleta e de sistemas de tratamento de esgoto, conforme classificação 4222-7 do CNAE 2.0. Enquadra-se ainda a construção de estações de tratamento de água (ETA).</t>
  </si>
  <si>
    <t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t>
  </si>
  <si>
    <t>Portuárias, Marítimas e Fluviais</t>
  </si>
  <si>
    <t xml:space="preserve">As obras marítimas e fluviais, tais como, construção de instalações portuárias; construção de portos e marinas; construção de eclusas e canais de navegação (vias navegáveis); enrocamentos; obras de dragagem; aterro hidráulico; barragens, represas e diques, exceto para energia elétrica; a construção de emissários submarinos; a instalação de cabos submarinos, conforme classificação 4291-0 do CNAE 2.0. Enquadram-se também a construção de piers e outras obras com influência direta de cursos d’água. </t>
  </si>
  <si>
    <t>Fornecimento de Materiais e Equipamentos</t>
  </si>
  <si>
    <t xml:space="preserve">O fornecimento de materiais e equipamentos relevantes de natureza específica, como é o caso de: materiais betuminosos para obras rodoviárias,tubos de ferro fundido ou PVC para obras de abastecimento de água,elevadores e escadas rolantes para obras aeroportuárias.
Os materiais e equipamentos devem compor itens próprios na planilha orçamentária, apartados de sua instalação, assentamento ou produção, p. ex., conjunto motor-bomba, tubulação de ferro fundido e material betuminoso, respectivamente.
A adoção de taxa de BDI reduzida somente se justifica no caso de ficarem satisfeitas cumulativamente as seguintes condições: fornecimento de materiais e equipamentos que possam ser contratados diretamente do fabricante ou de fornecedor com especialidade própria e diversa da contratada principal;que se constitua mera intermediação entre a construtora e o fabricante; que a intermediação para fornecimento de equipamentos seja atividade residual da construtora.
</t>
  </si>
  <si>
    <t>CONFINS</t>
  </si>
  <si>
    <t>BASE DE CÁLCULO</t>
  </si>
  <si>
    <t>LUCRO PRESUMIDO</t>
  </si>
  <si>
    <t>RECEITA BRUTA (VALOR DA NOTA)</t>
  </si>
  <si>
    <t>VALOR DA NOTA - RECUPERAÇÃO DE CRÉDITO (AQUISIÇÃO DE INSUMOS)</t>
  </si>
  <si>
    <t>Código da pesquisa</t>
  </si>
  <si>
    <t>1º Quartil</t>
  </si>
  <si>
    <t>Médio</t>
  </si>
  <si>
    <t>3º Quartil</t>
  </si>
  <si>
    <t>BDI</t>
  </si>
  <si>
    <t>1 Quartil</t>
  </si>
  <si>
    <t>3 Quartil</t>
  </si>
  <si>
    <t>LOCAL: AVENIDA DOM SEBASTIÃO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</si>
</sst>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* #,##0.00_);_(* \(#,##0.00\);_(* &quot;-&quot;??_);_(@_)"/>
    <numFmt numFmtId="165" formatCode="[$-416]General"/>
    <numFmt numFmtId="166" formatCode="#,##0.00&quot; &quot;;&quot; (&quot;#,##0.00&quot;)&quot;;&quot; -&quot;#&quot; &quot;;&quot; &quot;@&quot; &quot;"/>
    <numFmt numFmtId="167" formatCode="_-* #,##0.00_-;\-* #,##0.00_-;_-* &quot;-&quot;?????_-;_-@_-"/>
    <numFmt numFmtId="168" formatCode="0.00000"/>
    <numFmt numFmtId="169" formatCode="0.000"/>
    <numFmt numFmtId="170" formatCode="0.0000"/>
    <numFmt numFmtId="171" formatCode="_-* #,##0.00000_-;\-* #,##0.00000_-;_-* &quot;-&quot;??_-;_-@_-"/>
    <numFmt numFmtId="172" formatCode="#,##0.00_ ;\-#,##0.00\ "/>
    <numFmt numFmtId="173" formatCode="0.000%"/>
    <numFmt numFmtId="174" formatCode="0.0%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1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rgb="FF0070C0"/>
      <name val="Times New Roman"/>
      <family val="1"/>
    </font>
    <font>
      <b/>
      <sz val="10"/>
      <color theme="3" tint="0.39997558519241921"/>
      <name val="Times New Roman"/>
      <family val="1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b/>
      <sz val="9"/>
      <name val="Cambria"/>
      <family val="1"/>
      <scheme val="major"/>
    </font>
    <font>
      <b/>
      <sz val="10"/>
      <color indexed="12"/>
      <name val="Cambria"/>
      <family val="1"/>
      <scheme val="major"/>
    </font>
    <font>
      <b/>
      <sz val="10"/>
      <color indexed="10"/>
      <name val="Cambria"/>
      <family val="1"/>
      <scheme val="major"/>
    </font>
    <font>
      <sz val="9"/>
      <name val="Cambria"/>
      <family val="1"/>
      <scheme val="major"/>
    </font>
    <font>
      <sz val="10"/>
      <color indexed="10"/>
      <name val="Cambria"/>
      <family val="1"/>
      <scheme val="major"/>
    </font>
    <font>
      <b/>
      <sz val="12"/>
      <color indexed="10"/>
      <name val="Cambria"/>
      <family val="1"/>
      <scheme val="major"/>
    </font>
    <font>
      <b/>
      <sz val="11"/>
      <name val="Cambria"/>
      <family val="1"/>
      <scheme val="major"/>
    </font>
    <font>
      <b/>
      <sz val="16"/>
      <color indexed="10"/>
      <name val="Cambria"/>
      <family val="1"/>
      <scheme val="major"/>
    </font>
    <font>
      <b/>
      <sz val="14"/>
      <color indexed="10"/>
      <name val="Cambria"/>
      <family val="1"/>
      <scheme val="major"/>
    </font>
    <font>
      <b/>
      <sz val="10"/>
      <color indexed="62"/>
      <name val="Cambria"/>
      <family val="1"/>
      <scheme val="major"/>
    </font>
    <font>
      <sz val="10"/>
      <color indexed="62"/>
      <name val="Cambria"/>
      <family val="1"/>
      <scheme val="major"/>
    </font>
    <font>
      <sz val="11"/>
      <name val="Cambria"/>
      <family val="1"/>
      <scheme val="major"/>
    </font>
  </fonts>
  <fills count="3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120">
    <xf numFmtId="0" fontId="0" fillId="0" borderId="0"/>
    <xf numFmtId="166" fontId="6" fillId="0" borderId="0" applyBorder="0" applyProtection="0"/>
    <xf numFmtId="165" fontId="6" fillId="0" borderId="0" applyBorder="0" applyProtection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22" fillId="25" borderId="0" applyNumberFormat="0" applyBorder="0" applyAlignment="0" applyProtection="0"/>
    <xf numFmtId="0" fontId="22" fillId="3" borderId="0" applyNumberFormat="0" applyBorder="0" applyAlignment="0" applyProtection="0"/>
    <xf numFmtId="0" fontId="22" fillId="24" borderId="0" applyNumberFormat="0" applyBorder="0" applyAlignment="0" applyProtection="0"/>
    <xf numFmtId="0" fontId="22" fillId="26" borderId="0" applyNumberFormat="0" applyBorder="0" applyAlignment="0" applyProtection="0"/>
    <xf numFmtId="0" fontId="22" fillId="15" borderId="0" applyNumberFormat="0" applyBorder="0" applyAlignment="0" applyProtection="0"/>
    <xf numFmtId="0" fontId="22" fillId="27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28" borderId="0" applyNumberFormat="0" applyBorder="0" applyAlignment="0" applyProtection="0"/>
    <xf numFmtId="0" fontId="22" fillId="16" borderId="0" applyNumberFormat="0" applyBorder="0" applyAlignment="0" applyProtection="0"/>
    <xf numFmtId="0" fontId="22" fillId="29" borderId="0" applyNumberFormat="0" applyBorder="0" applyAlignment="0" applyProtection="0"/>
    <xf numFmtId="0" fontId="22" fillId="26" borderId="0" applyNumberFormat="0" applyBorder="0" applyAlignment="0" applyProtection="0"/>
    <xf numFmtId="0" fontId="22" fillId="15" borderId="0" applyNumberFormat="0" applyBorder="0" applyAlignment="0" applyProtection="0"/>
    <xf numFmtId="0" fontId="22" fillId="9" borderId="0" applyNumberFormat="0" applyBorder="0" applyAlignment="0" applyProtection="0"/>
    <xf numFmtId="0" fontId="13" fillId="8" borderId="0" applyNumberFormat="0" applyBorder="0" applyAlignment="0" applyProtection="0"/>
    <xf numFmtId="0" fontId="12" fillId="6" borderId="0" applyNumberFormat="0" applyBorder="0" applyAlignment="0" applyProtection="0"/>
    <xf numFmtId="0" fontId="24" fillId="30" borderId="1" applyNumberFormat="0" applyAlignment="0" applyProtection="0"/>
    <xf numFmtId="0" fontId="17" fillId="11" borderId="1" applyNumberFormat="0" applyAlignment="0" applyProtection="0"/>
    <xf numFmtId="0" fontId="19" fillId="12" borderId="2" applyNumberFormat="0" applyAlignment="0" applyProtection="0"/>
    <xf numFmtId="0" fontId="18" fillId="0" borderId="3" applyNumberFormat="0" applyFill="0" applyAlignment="0" applyProtection="0"/>
    <xf numFmtId="0" fontId="19" fillId="12" borderId="2" applyNumberFormat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5" fillId="7" borderId="1" applyNumberFormat="0" applyAlignment="0" applyProtection="0"/>
    <xf numFmtId="0" fontId="20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5" fillId="5" borderId="1" applyNumberFormat="0" applyAlignment="0" applyProtection="0"/>
    <xf numFmtId="0" fontId="28" fillId="0" borderId="20" applyNumberFormat="0" applyFill="0" applyAlignment="0" applyProtection="0"/>
    <xf numFmtId="0" fontId="14" fillId="7" borderId="0" applyNumberFormat="0" applyBorder="0" applyAlignment="0" applyProtection="0"/>
    <xf numFmtId="0" fontId="29" fillId="7" borderId="0" applyNumberFormat="0" applyBorder="0" applyAlignment="0" applyProtection="0"/>
    <xf numFmtId="0" fontId="5" fillId="4" borderId="4" applyNumberFormat="0" applyFont="0" applyAlignment="0" applyProtection="0"/>
    <xf numFmtId="0" fontId="4" fillId="4" borderId="4" applyNumberFormat="0" applyFont="0" applyAlignment="0" applyProtection="0"/>
    <xf numFmtId="0" fontId="16" fillId="30" borderId="5" applyNumberFormat="0" applyAlignment="0" applyProtection="0"/>
    <xf numFmtId="0" fontId="16" fillId="11" borderId="5" applyNumberFormat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5" fillId="4" borderId="4" applyNumberFormat="0" applyFont="0" applyAlignment="0" applyProtection="0"/>
    <xf numFmtId="0" fontId="5" fillId="0" borderId="0"/>
    <xf numFmtId="0" fontId="5" fillId="4" borderId="4" applyNumberFormat="0" applyFont="0" applyAlignment="0" applyProtection="0"/>
    <xf numFmtId="0" fontId="5" fillId="0" borderId="0"/>
    <xf numFmtId="0" fontId="5" fillId="4" borderId="4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30" borderId="46" applyNumberFormat="0" applyAlignment="0" applyProtection="0"/>
    <xf numFmtId="0" fontId="17" fillId="11" borderId="46" applyNumberFormat="0" applyAlignment="0" applyProtection="0"/>
    <xf numFmtId="0" fontId="15" fillId="7" borderId="46" applyNumberFormat="0" applyAlignment="0" applyProtection="0"/>
    <xf numFmtId="0" fontId="15" fillId="5" borderId="46" applyNumberFormat="0" applyAlignment="0" applyProtection="0"/>
    <xf numFmtId="0" fontId="5" fillId="4" borderId="47" applyNumberFormat="0" applyFont="0" applyAlignment="0" applyProtection="0"/>
    <xf numFmtId="0" fontId="4" fillId="4" borderId="47" applyNumberFormat="0" applyFont="0" applyAlignment="0" applyProtection="0"/>
    <xf numFmtId="0" fontId="16" fillId="30" borderId="48" applyNumberFormat="0" applyAlignment="0" applyProtection="0"/>
    <xf numFmtId="0" fontId="16" fillId="11" borderId="48" applyNumberFormat="0" applyAlignment="0" applyProtection="0"/>
    <xf numFmtId="0" fontId="21" fillId="0" borderId="49" applyNumberFormat="0" applyFill="0" applyAlignment="0" applyProtection="0"/>
    <xf numFmtId="0" fontId="5" fillId="4" borderId="47" applyNumberFormat="0" applyFont="0" applyAlignment="0" applyProtection="0"/>
    <xf numFmtId="0" fontId="5" fillId="4" borderId="47" applyNumberFormat="0" applyFont="0" applyAlignment="0" applyProtection="0"/>
    <xf numFmtId="0" fontId="5" fillId="4" borderId="47" applyNumberFormat="0" applyFont="0" applyAlignment="0" applyProtection="0"/>
  </cellStyleXfs>
  <cellXfs count="418">
    <xf numFmtId="0" fontId="0" fillId="0" borderId="0" xfId="0"/>
    <xf numFmtId="4" fontId="32" fillId="20" borderId="0" xfId="4" applyNumberFormat="1" applyFont="1" applyFill="1" applyBorder="1" applyAlignment="1">
      <alignment vertical="center"/>
    </xf>
    <xf numFmtId="4" fontId="32" fillId="20" borderId="26" xfId="4" applyNumberFormat="1" applyFont="1" applyFill="1" applyBorder="1" applyAlignment="1">
      <alignment vertical="center"/>
    </xf>
    <xf numFmtId="0" fontId="37" fillId="20" borderId="43" xfId="0" applyFont="1" applyFill="1" applyBorder="1" applyAlignment="1">
      <alignment horizontal="center" vertical="center"/>
    </xf>
    <xf numFmtId="0" fontId="32" fillId="20" borderId="45" xfId="0" applyFont="1" applyFill="1" applyBorder="1"/>
    <xf numFmtId="1" fontId="32" fillId="20" borderId="45" xfId="0" applyNumberFormat="1" applyFont="1" applyFill="1" applyBorder="1"/>
    <xf numFmtId="169" fontId="32" fillId="20" borderId="45" xfId="0" applyNumberFormat="1" applyFont="1" applyFill="1" applyBorder="1"/>
    <xf numFmtId="2" fontId="32" fillId="20" borderId="45" xfId="0" applyNumberFormat="1" applyFont="1" applyFill="1" applyBorder="1" applyAlignment="1">
      <alignment horizontal="right"/>
    </xf>
    <xf numFmtId="43" fontId="32" fillId="20" borderId="45" xfId="0" applyNumberFormat="1" applyFont="1" applyFill="1" applyBorder="1" applyAlignment="1">
      <alignment horizontal="right"/>
    </xf>
    <xf numFmtId="43" fontId="32" fillId="20" borderId="45" xfId="0" applyNumberFormat="1" applyFont="1" applyFill="1" applyBorder="1"/>
    <xf numFmtId="43" fontId="32" fillId="20" borderId="44" xfId="0" applyNumberFormat="1" applyFont="1" applyFill="1" applyBorder="1"/>
    <xf numFmtId="0" fontId="32" fillId="0" borderId="0" xfId="0" applyFont="1" applyFill="1"/>
    <xf numFmtId="4" fontId="32" fillId="20" borderId="22" xfId="4" applyNumberFormat="1" applyFont="1" applyFill="1" applyBorder="1" applyAlignment="1">
      <alignment vertical="center"/>
    </xf>
    <xf numFmtId="0" fontId="32" fillId="20" borderId="0" xfId="0" applyFont="1" applyFill="1" applyBorder="1"/>
    <xf numFmtId="4" fontId="32" fillId="20" borderId="0" xfId="4" applyNumberFormat="1" applyFont="1" applyFill="1" applyBorder="1" applyAlignment="1">
      <alignment vertical="center" wrapText="1"/>
    </xf>
    <xf numFmtId="169" fontId="32" fillId="20" borderId="0" xfId="4" applyNumberFormat="1" applyFont="1" applyFill="1" applyBorder="1" applyAlignment="1">
      <alignment vertical="center" wrapText="1"/>
    </xf>
    <xf numFmtId="2" fontId="32" fillId="20" borderId="0" xfId="4" applyNumberFormat="1" applyFont="1" applyFill="1" applyBorder="1" applyAlignment="1">
      <alignment horizontal="right" vertical="center" wrapText="1"/>
    </xf>
    <xf numFmtId="43" fontId="32" fillId="20" borderId="0" xfId="4" applyNumberFormat="1" applyFont="1" applyFill="1" applyBorder="1" applyAlignment="1">
      <alignment horizontal="right" vertical="center" wrapText="1"/>
    </xf>
    <xf numFmtId="4" fontId="32" fillId="20" borderId="23" xfId="4" applyNumberFormat="1" applyFont="1" applyFill="1" applyBorder="1" applyAlignment="1">
      <alignment vertical="center" wrapText="1"/>
    </xf>
    <xf numFmtId="169" fontId="32" fillId="20" borderId="0" xfId="4" applyNumberFormat="1" applyFont="1" applyFill="1" applyBorder="1" applyAlignment="1">
      <alignment vertical="center"/>
    </xf>
    <xf numFmtId="2" fontId="32" fillId="20" borderId="0" xfId="4" applyNumberFormat="1" applyFont="1" applyFill="1" applyBorder="1" applyAlignment="1">
      <alignment horizontal="right" vertical="center"/>
    </xf>
    <xf numFmtId="43" fontId="32" fillId="20" borderId="0" xfId="4" applyNumberFormat="1" applyFont="1" applyFill="1" applyBorder="1" applyAlignment="1">
      <alignment horizontal="right" vertical="center"/>
    </xf>
    <xf numFmtId="4" fontId="32" fillId="20" borderId="23" xfId="4" applyNumberFormat="1" applyFont="1" applyFill="1" applyBorder="1" applyAlignment="1">
      <alignment vertical="center"/>
    </xf>
    <xf numFmtId="0" fontId="32" fillId="20" borderId="22" xfId="0" applyFont="1" applyFill="1" applyBorder="1" applyAlignment="1">
      <alignment horizontal="left" vertical="center"/>
    </xf>
    <xf numFmtId="0" fontId="37" fillId="20" borderId="22" xfId="0" applyFont="1" applyFill="1" applyBorder="1" applyAlignment="1">
      <alignment horizontal="left" vertical="center"/>
    </xf>
    <xf numFmtId="4" fontId="36" fillId="20" borderId="0" xfId="4" applyNumberFormat="1" applyFont="1" applyFill="1" applyBorder="1" applyAlignment="1">
      <alignment vertical="center" wrapText="1"/>
    </xf>
    <xf numFmtId="169" fontId="36" fillId="20" borderId="0" xfId="4" applyNumberFormat="1" applyFont="1" applyFill="1" applyBorder="1" applyAlignment="1">
      <alignment vertical="center" wrapText="1"/>
    </xf>
    <xf numFmtId="2" fontId="36" fillId="20" borderId="0" xfId="4" applyNumberFormat="1" applyFont="1" applyFill="1" applyBorder="1" applyAlignment="1">
      <alignment horizontal="right" vertical="center" wrapText="1"/>
    </xf>
    <xf numFmtId="43" fontId="32" fillId="20" borderId="0" xfId="0" applyNumberFormat="1" applyFont="1" applyFill="1" applyBorder="1" applyAlignment="1">
      <alignment horizontal="right"/>
    </xf>
    <xf numFmtId="43" fontId="32" fillId="20" borderId="0" xfId="0" applyNumberFormat="1" applyFont="1" applyFill="1" applyBorder="1"/>
    <xf numFmtId="43" fontId="32" fillId="20" borderId="23" xfId="0" applyNumberFormat="1" applyFont="1" applyFill="1" applyBorder="1"/>
    <xf numFmtId="0" fontId="37" fillId="20" borderId="38" xfId="0" applyFont="1" applyFill="1" applyBorder="1" applyAlignment="1">
      <alignment horizontal="center" vertical="center"/>
    </xf>
    <xf numFmtId="0" fontId="32" fillId="20" borderId="39" xfId="0" applyFont="1" applyFill="1" applyBorder="1"/>
    <xf numFmtId="1" fontId="32" fillId="20" borderId="39" xfId="0" applyNumberFormat="1" applyFont="1" applyFill="1" applyBorder="1"/>
    <xf numFmtId="0" fontId="38" fillId="0" borderId="12" xfId="0" applyFont="1" applyFill="1" applyBorder="1" applyAlignment="1">
      <alignment horizontal="center" vertical="center"/>
    </xf>
    <xf numFmtId="0" fontId="36" fillId="0" borderId="12" xfId="4" applyFont="1" applyFill="1" applyBorder="1" applyAlignment="1">
      <alignment horizontal="center" vertical="center" wrapText="1"/>
    </xf>
    <xf numFmtId="43" fontId="36" fillId="0" borderId="12" xfId="4" applyNumberFormat="1" applyFont="1" applyFill="1" applyBorder="1" applyAlignment="1">
      <alignment horizontal="right" vertical="center" wrapText="1"/>
    </xf>
    <xf numFmtId="43" fontId="36" fillId="0" borderId="12" xfId="4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2" fontId="32" fillId="0" borderId="0" xfId="0" applyNumberFormat="1" applyFont="1" applyFill="1" applyAlignment="1">
      <alignment horizontal="right"/>
    </xf>
    <xf numFmtId="0" fontId="37" fillId="0" borderId="0" xfId="0" applyFont="1" applyFill="1" applyBorder="1" applyAlignment="1">
      <alignment horizontal="center" vertical="center"/>
    </xf>
    <xf numFmtId="0" fontId="36" fillId="0" borderId="0" xfId="4" applyFont="1" applyFill="1" applyBorder="1" applyAlignment="1">
      <alignment horizontal="center" vertical="center" wrapText="1"/>
    </xf>
    <xf numFmtId="1" fontId="36" fillId="0" borderId="0" xfId="4" applyNumberFormat="1" applyFont="1" applyFill="1" applyBorder="1" applyAlignment="1">
      <alignment horizontal="center" vertical="center" wrapText="1"/>
    </xf>
    <xf numFmtId="169" fontId="36" fillId="0" borderId="0" xfId="4" applyNumberFormat="1" applyFont="1" applyFill="1" applyBorder="1" applyAlignment="1">
      <alignment horizontal="center" vertical="center" wrapText="1"/>
    </xf>
    <xf numFmtId="2" fontId="36" fillId="0" borderId="0" xfId="4" applyNumberFormat="1" applyFont="1" applyFill="1" applyBorder="1" applyAlignment="1">
      <alignment horizontal="right" vertical="center" wrapText="1"/>
    </xf>
    <xf numFmtId="43" fontId="36" fillId="0" borderId="0" xfId="4" applyNumberFormat="1" applyFont="1" applyFill="1" applyBorder="1" applyAlignment="1">
      <alignment horizontal="right" vertical="center" wrapText="1"/>
    </xf>
    <xf numFmtId="43" fontId="36" fillId="0" borderId="0" xfId="4" applyNumberFormat="1" applyFont="1" applyFill="1" applyBorder="1" applyAlignment="1">
      <alignment horizontal="center" vertical="center" wrapText="1"/>
    </xf>
    <xf numFmtId="43" fontId="36" fillId="0" borderId="12" xfId="104" applyNumberFormat="1" applyFont="1" applyFill="1" applyBorder="1" applyAlignment="1">
      <alignment horizontal="right" vertical="center" wrapText="1"/>
    </xf>
    <xf numFmtId="43" fontId="36" fillId="0" borderId="12" xfId="104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1" fontId="32" fillId="0" borderId="0" xfId="0" applyNumberFormat="1" applyFont="1" applyFill="1"/>
    <xf numFmtId="169" fontId="32" fillId="0" borderId="0" xfId="0" applyNumberFormat="1" applyFont="1" applyFill="1"/>
    <xf numFmtId="43" fontId="32" fillId="0" borderId="0" xfId="0" applyNumberFormat="1" applyFont="1" applyFill="1" applyAlignment="1">
      <alignment horizontal="right"/>
    </xf>
    <xf numFmtId="43" fontId="32" fillId="0" borderId="0" xfId="0" applyNumberFormat="1" applyFont="1" applyFill="1"/>
    <xf numFmtId="0" fontId="36" fillId="0" borderId="0" xfId="104" applyFont="1" applyFill="1" applyBorder="1" applyAlignment="1">
      <alignment horizontal="center" vertical="center" wrapText="1"/>
    </xf>
    <xf numFmtId="43" fontId="36" fillId="0" borderId="0" xfId="104" applyNumberFormat="1" applyFont="1" applyFill="1" applyBorder="1" applyAlignment="1">
      <alignment horizontal="center" vertical="center" wrapText="1"/>
    </xf>
    <xf numFmtId="0" fontId="36" fillId="0" borderId="12" xfId="104" applyFont="1" applyFill="1" applyBorder="1" applyAlignment="1">
      <alignment horizontal="center" vertical="center" wrapText="1"/>
    </xf>
    <xf numFmtId="169" fontId="36" fillId="0" borderId="12" xfId="104" applyNumberFormat="1" applyFont="1" applyFill="1" applyBorder="1" applyAlignment="1">
      <alignment horizontal="center" vertical="center" wrapText="1"/>
    </xf>
    <xf numFmtId="2" fontId="36" fillId="0" borderId="12" xfId="104" applyNumberFormat="1" applyFont="1" applyFill="1" applyBorder="1" applyAlignment="1">
      <alignment horizontal="right" vertical="center" wrapText="1"/>
    </xf>
    <xf numFmtId="1" fontId="36" fillId="0" borderId="12" xfId="104" applyNumberFormat="1" applyFont="1" applyFill="1" applyBorder="1" applyAlignment="1">
      <alignment horizontal="center" vertical="center" wrapText="1"/>
    </xf>
    <xf numFmtId="43" fontId="36" fillId="0" borderId="12" xfId="10" applyNumberFormat="1" applyFont="1" applyFill="1" applyBorder="1" applyAlignment="1" applyProtection="1">
      <alignment horizontal="right" vertical="center" wrapText="1"/>
      <protection locked="0"/>
    </xf>
    <xf numFmtId="3" fontId="39" fillId="0" borderId="12" xfId="3" applyNumberFormat="1" applyFont="1" applyFill="1" applyBorder="1" applyAlignment="1" applyProtection="1">
      <alignment horizontal="center" vertical="center" wrapText="1"/>
    </xf>
    <xf numFmtId="1" fontId="36" fillId="0" borderId="0" xfId="104" applyNumberFormat="1" applyFont="1" applyFill="1" applyBorder="1" applyAlignment="1">
      <alignment horizontal="center" vertical="center" wrapText="1"/>
    </xf>
    <xf numFmtId="169" fontId="36" fillId="0" borderId="0" xfId="104" applyNumberFormat="1" applyFont="1" applyFill="1" applyBorder="1" applyAlignment="1">
      <alignment horizontal="center" vertical="center" wrapText="1"/>
    </xf>
    <xf numFmtId="43" fontId="36" fillId="0" borderId="0" xfId="10" applyNumberFormat="1" applyFont="1" applyFill="1" applyBorder="1" applyAlignment="1" applyProtection="1">
      <alignment horizontal="right" vertical="center" wrapText="1"/>
      <protection locked="0"/>
    </xf>
    <xf numFmtId="0" fontId="39" fillId="0" borderId="12" xfId="0" applyFont="1" applyFill="1" applyBorder="1" applyAlignment="1">
      <alignment horizontal="center" vertical="center"/>
    </xf>
    <xf numFmtId="2" fontId="36" fillId="0" borderId="0" xfId="104" applyNumberFormat="1" applyFont="1" applyFill="1" applyBorder="1" applyAlignment="1">
      <alignment horizontal="right" vertical="center" wrapText="1"/>
    </xf>
    <xf numFmtId="0" fontId="36" fillId="0" borderId="12" xfId="104" applyFont="1" applyFill="1" applyBorder="1" applyAlignment="1">
      <alignment horizontal="justify" vertical="center" wrapText="1"/>
    </xf>
    <xf numFmtId="0" fontId="32" fillId="20" borderId="45" xfId="0" applyFont="1" applyFill="1" applyBorder="1" applyAlignment="1">
      <alignment horizontal="justify"/>
    </xf>
    <xf numFmtId="4" fontId="32" fillId="20" borderId="0" xfId="4" applyNumberFormat="1" applyFont="1" applyFill="1" applyBorder="1" applyAlignment="1">
      <alignment horizontal="justify" vertical="center" wrapText="1"/>
    </xf>
    <xf numFmtId="4" fontId="32" fillId="20" borderId="0" xfId="4" applyNumberFormat="1" applyFont="1" applyFill="1" applyBorder="1" applyAlignment="1">
      <alignment horizontal="justify" vertical="center"/>
    </xf>
    <xf numFmtId="0" fontId="32" fillId="20" borderId="39" xfId="0" applyFont="1" applyFill="1" applyBorder="1" applyAlignment="1">
      <alignment horizontal="justify"/>
    </xf>
    <xf numFmtId="0" fontId="36" fillId="0" borderId="0" xfId="4" applyFont="1" applyFill="1" applyBorder="1" applyAlignment="1">
      <alignment horizontal="justify" vertical="center" wrapText="1"/>
    </xf>
    <xf numFmtId="0" fontId="32" fillId="0" borderId="0" xfId="0" applyFont="1" applyFill="1" applyAlignment="1">
      <alignment horizontal="justify"/>
    </xf>
    <xf numFmtId="0" fontId="36" fillId="0" borderId="0" xfId="104" applyFont="1" applyFill="1" applyBorder="1" applyAlignment="1">
      <alignment horizontal="justify" vertical="center" wrapText="1"/>
    </xf>
    <xf numFmtId="0" fontId="32" fillId="0" borderId="0" xfId="0" applyFont="1" applyFill="1" applyBorder="1" applyAlignment="1">
      <alignment vertical="top"/>
    </xf>
    <xf numFmtId="165" fontId="37" fillId="19" borderId="0" xfId="2" applyFont="1" applyFill="1" applyBorder="1" applyAlignment="1" applyProtection="1">
      <alignment vertical="top"/>
    </xf>
    <xf numFmtId="167" fontId="37" fillId="21" borderId="0" xfId="2" applyNumberFormat="1" applyFont="1" applyFill="1" applyBorder="1" applyAlignment="1" applyProtection="1">
      <alignment vertical="top" wrapText="1"/>
    </xf>
    <xf numFmtId="165" fontId="37" fillId="21" borderId="0" xfId="2" applyFont="1" applyFill="1" applyBorder="1" applyAlignment="1" applyProtection="1">
      <alignment vertical="top" wrapText="1"/>
    </xf>
    <xf numFmtId="10" fontId="37" fillId="19" borderId="26" xfId="5" applyNumberFormat="1" applyFont="1" applyFill="1" applyBorder="1" applyAlignment="1" applyProtection="1">
      <alignment horizontal="center" vertical="top" wrapText="1"/>
    </xf>
    <xf numFmtId="165" fontId="37" fillId="19" borderId="0" xfId="2" applyFont="1" applyFill="1" applyBorder="1" applyAlignment="1" applyProtection="1">
      <alignment horizontal="center" vertical="top"/>
    </xf>
    <xf numFmtId="165" fontId="33" fillId="19" borderId="0" xfId="2" applyFont="1" applyFill="1" applyBorder="1" applyAlignment="1" applyProtection="1">
      <alignment horizontal="center" vertical="top"/>
    </xf>
    <xf numFmtId="167" fontId="37" fillId="21" borderId="0" xfId="2" applyNumberFormat="1" applyFont="1" applyFill="1" applyBorder="1" applyAlignment="1" applyProtection="1">
      <alignment horizontal="center" vertical="top" wrapText="1"/>
    </xf>
    <xf numFmtId="165" fontId="37" fillId="21" borderId="0" xfId="2" applyFont="1" applyFill="1" applyBorder="1" applyAlignment="1" applyProtection="1">
      <alignment horizontal="center" vertical="top" wrapText="1"/>
    </xf>
    <xf numFmtId="0" fontId="37" fillId="0" borderId="12" xfId="0" applyFont="1" applyFill="1" applyBorder="1" applyAlignment="1">
      <alignment horizontal="center" vertical="top"/>
    </xf>
    <xf numFmtId="0" fontId="37" fillId="0" borderId="12" xfId="0" applyFont="1" applyFill="1" applyBorder="1" applyAlignment="1">
      <alignment horizontal="center" vertical="top" wrapText="1"/>
    </xf>
    <xf numFmtId="167" fontId="37" fillId="0" borderId="12" xfId="6" applyNumberFormat="1" applyFont="1" applyFill="1" applyBorder="1" applyAlignment="1">
      <alignment horizontal="center" vertical="top"/>
    </xf>
    <xf numFmtId="164" fontId="37" fillId="0" borderId="12" xfId="6" applyFont="1" applyFill="1" applyBorder="1" applyAlignment="1">
      <alignment horizontal="center" vertical="top"/>
    </xf>
    <xf numFmtId="164" fontId="37" fillId="0" borderId="12" xfId="6" applyFont="1" applyFill="1" applyBorder="1" applyAlignment="1">
      <alignment horizontal="center" vertical="top" wrapText="1"/>
    </xf>
    <xf numFmtId="0" fontId="37" fillId="20" borderId="62" xfId="0" applyFont="1" applyFill="1" applyBorder="1" applyAlignment="1">
      <alignment horizontal="center" vertical="top"/>
    </xf>
    <xf numFmtId="165" fontId="35" fillId="20" borderId="62" xfId="2" applyFont="1" applyFill="1" applyBorder="1" applyAlignment="1" applyProtection="1">
      <alignment horizontal="center" vertical="top"/>
    </xf>
    <xf numFmtId="165" fontId="35" fillId="20" borderId="62" xfId="2" applyFont="1" applyFill="1" applyBorder="1" applyAlignment="1" applyProtection="1">
      <alignment horizontal="left" vertical="top"/>
    </xf>
    <xf numFmtId="167" fontId="37" fillId="20" borderId="62" xfId="6" applyNumberFormat="1" applyFont="1" applyFill="1" applyBorder="1" applyAlignment="1">
      <alignment horizontal="center" vertical="top"/>
    </xf>
    <xf numFmtId="164" fontId="37" fillId="20" borderId="62" xfId="6" applyFont="1" applyFill="1" applyBorder="1" applyAlignment="1">
      <alignment horizontal="center" vertical="top"/>
    </xf>
    <xf numFmtId="164" fontId="37" fillId="20" borderId="15" xfId="6" applyFont="1" applyFill="1" applyBorder="1" applyAlignment="1">
      <alignment horizontal="center" vertical="top"/>
    </xf>
    <xf numFmtId="165" fontId="36" fillId="0" borderId="0" xfId="2" applyFont="1" applyFill="1" applyBorder="1" applyAlignment="1" applyProtection="1">
      <alignment horizontal="center" vertical="top"/>
    </xf>
    <xf numFmtId="165" fontId="36" fillId="0" borderId="0" xfId="2" applyFont="1" applyFill="1" applyBorder="1" applyAlignment="1" applyProtection="1">
      <alignment horizontal="center" vertical="top" wrapText="1"/>
    </xf>
    <xf numFmtId="165" fontId="36" fillId="0" borderId="0" xfId="2" applyFont="1" applyFill="1" applyBorder="1" applyAlignment="1" applyProtection="1">
      <alignment horizontal="left" vertical="top" wrapText="1"/>
    </xf>
    <xf numFmtId="167" fontId="32" fillId="0" borderId="0" xfId="1" applyNumberFormat="1" applyFont="1" applyFill="1" applyBorder="1" applyAlignment="1" applyProtection="1">
      <alignment vertical="top"/>
    </xf>
    <xf numFmtId="43" fontId="36" fillId="0" borderId="0" xfId="2" applyNumberFormat="1" applyFont="1" applyFill="1" applyBorder="1" applyAlignment="1" applyProtection="1">
      <alignment horizontal="right" vertical="top"/>
    </xf>
    <xf numFmtId="43" fontId="32" fillId="0" borderId="26" xfId="6" applyNumberFormat="1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32" fillId="0" borderId="27" xfId="0" applyFont="1" applyFill="1" applyBorder="1" applyAlignment="1">
      <alignment horizontal="center" vertical="top"/>
    </xf>
    <xf numFmtId="0" fontId="37" fillId="0" borderId="27" xfId="0" applyFont="1" applyFill="1" applyBorder="1" applyAlignment="1">
      <alignment horizontal="left" vertical="top"/>
    </xf>
    <xf numFmtId="0" fontId="37" fillId="0" borderId="27" xfId="0" applyFont="1" applyFill="1" applyBorder="1" applyAlignment="1">
      <alignment horizontal="center" vertical="top"/>
    </xf>
    <xf numFmtId="167" fontId="37" fillId="0" borderId="27" xfId="6" applyNumberFormat="1" applyFont="1" applyFill="1" applyBorder="1" applyAlignment="1">
      <alignment vertical="top"/>
    </xf>
    <xf numFmtId="43" fontId="37" fillId="0" borderId="27" xfId="6" applyNumberFormat="1" applyFont="1" applyFill="1" applyBorder="1" applyAlignment="1">
      <alignment vertical="top"/>
    </xf>
    <xf numFmtId="164" fontId="32" fillId="0" borderId="0" xfId="0" applyNumberFormat="1" applyFont="1" applyFill="1" applyBorder="1" applyAlignment="1">
      <alignment vertical="top"/>
    </xf>
    <xf numFmtId="168" fontId="32" fillId="0" borderId="0" xfId="0" applyNumberFormat="1" applyFont="1" applyFill="1" applyBorder="1" applyAlignment="1">
      <alignment vertical="top"/>
    </xf>
    <xf numFmtId="43" fontId="32" fillId="0" borderId="0" xfId="0" applyNumberFormat="1" applyFont="1" applyFill="1" applyBorder="1" applyAlignment="1">
      <alignment vertical="top"/>
    </xf>
    <xf numFmtId="43" fontId="37" fillId="0" borderId="28" xfId="6" applyNumberFormat="1" applyFont="1" applyFill="1" applyBorder="1" applyAlignment="1">
      <alignment vertical="top"/>
    </xf>
    <xf numFmtId="0" fontId="37" fillId="0" borderId="0" xfId="0" applyFont="1" applyFill="1" applyBorder="1" applyAlignment="1">
      <alignment vertical="top"/>
    </xf>
    <xf numFmtId="0" fontId="37" fillId="20" borderId="62" xfId="0" applyFont="1" applyFill="1" applyBorder="1" applyAlignment="1">
      <alignment horizontal="center"/>
    </xf>
    <xf numFmtId="0" fontId="37" fillId="20" borderId="62" xfId="0" applyFont="1" applyFill="1" applyBorder="1" applyAlignment="1"/>
    <xf numFmtId="167" fontId="37" fillId="20" borderId="62" xfId="0" applyNumberFormat="1" applyFont="1" applyFill="1" applyBorder="1" applyAlignment="1"/>
    <xf numFmtId="43" fontId="37" fillId="20" borderId="62" xfId="0" applyNumberFormat="1" applyFont="1" applyFill="1" applyBorder="1" applyAlignment="1"/>
    <xf numFmtId="43" fontId="37" fillId="20" borderId="15" xfId="0" applyNumberFormat="1" applyFont="1" applyFill="1" applyBorder="1" applyAlignment="1"/>
    <xf numFmtId="43" fontId="36" fillId="0" borderId="27" xfId="1" applyNumberFormat="1" applyFont="1" applyFill="1" applyBorder="1" applyAlignment="1" applyProtection="1">
      <alignment vertical="top"/>
    </xf>
    <xf numFmtId="0" fontId="32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center" vertical="top"/>
    </xf>
    <xf numFmtId="167" fontId="37" fillId="0" borderId="0" xfId="6" applyNumberFormat="1" applyFont="1" applyFill="1" applyBorder="1" applyAlignment="1">
      <alignment vertical="top"/>
    </xf>
    <xf numFmtId="43" fontId="37" fillId="0" borderId="0" xfId="6" applyNumberFormat="1" applyFont="1" applyFill="1" applyBorder="1" applyAlignment="1">
      <alignment vertical="top"/>
    </xf>
    <xf numFmtId="43" fontId="36" fillId="0" borderId="0" xfId="1" applyNumberFormat="1" applyFont="1" applyFill="1" applyBorder="1" applyAlignment="1" applyProtection="1">
      <alignment vertical="top"/>
    </xf>
    <xf numFmtId="43" fontId="37" fillId="0" borderId="26" xfId="6" applyNumberFormat="1" applyFont="1" applyFill="1" applyBorder="1" applyAlignment="1">
      <alignment vertical="top" wrapText="1"/>
    </xf>
    <xf numFmtId="167" fontId="32" fillId="0" borderId="0" xfId="6" applyNumberFormat="1" applyFont="1" applyFill="1" applyBorder="1" applyAlignment="1">
      <alignment horizontal="center" vertical="top"/>
    </xf>
    <xf numFmtId="164" fontId="32" fillId="0" borderId="0" xfId="6" applyFont="1" applyFill="1" applyBorder="1" applyAlignment="1">
      <alignment horizontal="center" vertical="top"/>
    </xf>
    <xf numFmtId="0" fontId="31" fillId="20" borderId="38" xfId="0" applyFont="1" applyFill="1" applyBorder="1"/>
    <xf numFmtId="0" fontId="31" fillId="20" borderId="39" xfId="0" applyFont="1" applyFill="1" applyBorder="1"/>
    <xf numFmtId="0" fontId="31" fillId="0" borderId="0" xfId="0" applyFont="1"/>
    <xf numFmtId="4" fontId="31" fillId="18" borderId="0" xfId="0" applyNumberFormat="1" applyFont="1" applyFill="1" applyBorder="1" applyAlignment="1">
      <alignment vertical="center"/>
    </xf>
    <xf numFmtId="4" fontId="31" fillId="18" borderId="23" xfId="0" applyNumberFormat="1" applyFont="1" applyFill="1" applyBorder="1" applyAlignment="1">
      <alignment vertical="center"/>
    </xf>
    <xf numFmtId="4" fontId="31" fillId="18" borderId="22" xfId="0" applyNumberFormat="1" applyFont="1" applyFill="1" applyBorder="1" applyAlignment="1">
      <alignment vertical="center" wrapText="1"/>
    </xf>
    <xf numFmtId="4" fontId="31" fillId="18" borderId="0" xfId="0" applyNumberFormat="1" applyFont="1" applyFill="1" applyBorder="1" applyAlignment="1">
      <alignment vertical="center" wrapText="1"/>
    </xf>
    <xf numFmtId="4" fontId="31" fillId="18" borderId="23" xfId="0" applyNumberFormat="1" applyFont="1" applyFill="1" applyBorder="1" applyAlignment="1">
      <alignment vertical="center" wrapText="1"/>
    </xf>
    <xf numFmtId="0" fontId="31" fillId="20" borderId="40" xfId="0" applyFont="1" applyFill="1" applyBorder="1"/>
    <xf numFmtId="0" fontId="40" fillId="20" borderId="11" xfId="0" applyFont="1" applyFill="1" applyBorder="1" applyAlignment="1">
      <alignment horizontal="center"/>
    </xf>
    <xf numFmtId="164" fontId="40" fillId="20" borderId="11" xfId="6" applyFont="1" applyFill="1" applyBorder="1" applyAlignment="1">
      <alignment horizontal="center"/>
    </xf>
    <xf numFmtId="0" fontId="40" fillId="0" borderId="51" xfId="0" applyFont="1" applyBorder="1" applyAlignment="1">
      <alignment horizontal="center"/>
    </xf>
    <xf numFmtId="0" fontId="40" fillId="0" borderId="52" xfId="0" applyFont="1" applyBorder="1" applyAlignment="1">
      <alignment horizontal="left"/>
    </xf>
    <xf numFmtId="164" fontId="40" fillId="0" borderId="52" xfId="6" applyFont="1" applyBorder="1" applyAlignment="1">
      <alignment horizontal="center"/>
    </xf>
    <xf numFmtId="164" fontId="40" fillId="0" borderId="53" xfId="6" applyFont="1" applyBorder="1" applyAlignment="1">
      <alignment horizontal="center"/>
    </xf>
    <xf numFmtId="164" fontId="40" fillId="0" borderId="54" xfId="6" applyFont="1" applyBorder="1" applyAlignment="1">
      <alignment horizontal="center"/>
    </xf>
    <xf numFmtId="0" fontId="40" fillId="0" borderId="29" xfId="0" applyFont="1" applyBorder="1" applyAlignment="1">
      <alignment horizontal="center" vertical="top"/>
    </xf>
    <xf numFmtId="0" fontId="40" fillId="0" borderId="30" xfId="0" applyFont="1" applyBorder="1" applyAlignment="1">
      <alignment horizontal="left" vertical="top"/>
    </xf>
    <xf numFmtId="10" fontId="31" fillId="0" borderId="30" xfId="5" applyNumberFormat="1" applyFont="1" applyBorder="1" applyAlignment="1">
      <alignment horizontal="center" vertical="top"/>
    </xf>
    <xf numFmtId="43" fontId="31" fillId="0" borderId="30" xfId="6" applyNumberFormat="1" applyFont="1" applyBorder="1" applyAlignment="1">
      <alignment vertical="top"/>
    </xf>
    <xf numFmtId="43" fontId="40" fillId="0" borderId="31" xfId="6" applyNumberFormat="1" applyFont="1" applyBorder="1" applyAlignment="1">
      <alignment vertical="top"/>
    </xf>
    <xf numFmtId="43" fontId="31" fillId="0" borderId="31" xfId="6" applyNumberFormat="1" applyFont="1" applyBorder="1" applyAlignment="1">
      <alignment vertical="top"/>
    </xf>
    <xf numFmtId="0" fontId="40" fillId="0" borderId="32" xfId="0" applyFont="1" applyBorder="1" applyAlignment="1">
      <alignment horizontal="center" vertical="top"/>
    </xf>
    <xf numFmtId="0" fontId="40" fillId="0" borderId="33" xfId="0" applyFont="1" applyBorder="1" applyAlignment="1">
      <alignment horizontal="left" vertical="top"/>
    </xf>
    <xf numFmtId="164" fontId="31" fillId="0" borderId="33" xfId="6" applyFont="1" applyBorder="1" applyAlignment="1">
      <alignment horizontal="center" vertical="top"/>
    </xf>
    <xf numFmtId="164" fontId="40" fillId="0" borderId="34" xfId="6" applyFont="1" applyBorder="1" applyAlignment="1">
      <alignment vertical="top"/>
    </xf>
    <xf numFmtId="0" fontId="40" fillId="0" borderId="35" xfId="0" applyFont="1" applyBorder="1" applyAlignment="1">
      <alignment horizontal="center" vertical="top"/>
    </xf>
    <xf numFmtId="0" fontId="40" fillId="0" borderId="36" xfId="0" applyFont="1" applyBorder="1" applyAlignment="1">
      <alignment vertical="top"/>
    </xf>
    <xf numFmtId="164" fontId="31" fillId="0" borderId="36" xfId="6" applyFont="1" applyBorder="1" applyAlignment="1">
      <alignment horizontal="center" vertical="top"/>
    </xf>
    <xf numFmtId="10" fontId="31" fillId="0" borderId="36" xfId="6" applyNumberFormat="1" applyFont="1" applyBorder="1" applyAlignment="1">
      <alignment horizontal="center" vertical="top"/>
    </xf>
    <xf numFmtId="164" fontId="40" fillId="0" borderId="37" xfId="6" applyFont="1" applyBorder="1" applyAlignment="1">
      <alignment vertical="top"/>
    </xf>
    <xf numFmtId="10" fontId="31" fillId="0" borderId="0" xfId="0" applyNumberFormat="1" applyFont="1"/>
    <xf numFmtId="0" fontId="40" fillId="0" borderId="55" xfId="0" applyFont="1" applyBorder="1" applyAlignment="1">
      <alignment horizontal="center" vertical="top"/>
    </xf>
    <xf numFmtId="0" fontId="40" fillId="0" borderId="56" xfId="0" applyFont="1" applyBorder="1" applyAlignment="1">
      <alignment vertical="top"/>
    </xf>
    <xf numFmtId="164" fontId="31" fillId="0" borderId="56" xfId="6" applyFont="1" applyBorder="1" applyAlignment="1">
      <alignment horizontal="center" vertical="top"/>
    </xf>
    <xf numFmtId="164" fontId="40" fillId="0" borderId="57" xfId="6" applyFont="1" applyBorder="1" applyAlignment="1">
      <alignment vertical="top"/>
    </xf>
    <xf numFmtId="0" fontId="40" fillId="0" borderId="64" xfId="0" applyFont="1" applyBorder="1" applyAlignment="1">
      <alignment horizontal="center" vertical="top"/>
    </xf>
    <xf numFmtId="0" fontId="40" fillId="0" borderId="65" xfId="0" applyFont="1" applyBorder="1" applyAlignment="1">
      <alignment vertical="top"/>
    </xf>
    <xf numFmtId="164" fontId="31" fillId="0" borderId="65" xfId="6" applyFont="1" applyBorder="1" applyAlignment="1">
      <alignment horizontal="center" vertical="top"/>
    </xf>
    <xf numFmtId="164" fontId="40" fillId="0" borderId="66" xfId="6" applyFont="1" applyBorder="1" applyAlignment="1">
      <alignment vertical="top"/>
    </xf>
    <xf numFmtId="0" fontId="40" fillId="0" borderId="58" xfId="0" applyFont="1" applyBorder="1" applyAlignment="1">
      <alignment horizontal="center" vertical="top"/>
    </xf>
    <xf numFmtId="0" fontId="31" fillId="0" borderId="59" xfId="0" applyFont="1" applyBorder="1" applyAlignment="1">
      <alignment vertical="top"/>
    </xf>
    <xf numFmtId="164" fontId="31" fillId="0" borderId="59" xfId="6" applyFont="1" applyBorder="1" applyAlignment="1">
      <alignment vertical="top"/>
    </xf>
    <xf numFmtId="9" fontId="31" fillId="0" borderId="59" xfId="6" applyNumberFormat="1" applyFont="1" applyBorder="1" applyAlignment="1">
      <alignment horizontal="center" vertical="top"/>
    </xf>
    <xf numFmtId="9" fontId="31" fillId="0" borderId="60" xfId="6" applyNumberFormat="1" applyFont="1" applyBorder="1" applyAlignment="1">
      <alignment horizontal="center" vertical="top"/>
    </xf>
    <xf numFmtId="164" fontId="40" fillId="0" borderId="61" xfId="6" applyFont="1" applyBorder="1" applyAlignment="1">
      <alignment vertical="top"/>
    </xf>
    <xf numFmtId="0" fontId="40" fillId="18" borderId="9" xfId="0" applyFont="1" applyFill="1" applyBorder="1" applyAlignment="1">
      <alignment vertical="top"/>
    </xf>
    <xf numFmtId="9" fontId="31" fillId="0" borderId="30" xfId="5" applyFont="1" applyBorder="1" applyAlignment="1">
      <alignment horizontal="center" vertical="top"/>
    </xf>
    <xf numFmtId="43" fontId="31" fillId="0" borderId="30" xfId="5" applyNumberFormat="1" applyFont="1" applyBorder="1" applyAlignment="1">
      <alignment horizontal="center" vertical="top"/>
    </xf>
    <xf numFmtId="43" fontId="40" fillId="0" borderId="12" xfId="6" applyNumberFormat="1" applyFont="1" applyBorder="1" applyAlignment="1">
      <alignment vertical="top"/>
    </xf>
    <xf numFmtId="0" fontId="40" fillId="18" borderId="29" xfId="0" applyFont="1" applyFill="1" applyBorder="1" applyAlignment="1">
      <alignment horizontal="left" vertical="top"/>
    </xf>
    <xf numFmtId="43" fontId="31" fillId="0" borderId="33" xfId="6" applyNumberFormat="1" applyFont="1" applyBorder="1" applyAlignment="1">
      <alignment vertical="top"/>
    </xf>
    <xf numFmtId="43" fontId="31" fillId="0" borderId="50" xfId="6" applyNumberFormat="1" applyFont="1" applyBorder="1" applyAlignment="1">
      <alignment vertical="top"/>
    </xf>
    <xf numFmtId="10" fontId="31" fillId="0" borderId="33" xfId="5" applyNumberFormat="1" applyFont="1" applyBorder="1" applyAlignment="1">
      <alignment horizontal="center" vertical="top"/>
    </xf>
    <xf numFmtId="43" fontId="31" fillId="0" borderId="37" xfId="0" applyNumberFormat="1" applyFont="1" applyBorder="1" applyAlignment="1">
      <alignment vertical="top"/>
    </xf>
    <xf numFmtId="164" fontId="31" fillId="33" borderId="33" xfId="6" applyFont="1" applyFill="1" applyBorder="1" applyAlignment="1">
      <alignment vertical="top"/>
    </xf>
    <xf numFmtId="0" fontId="36" fillId="0" borderId="12" xfId="104" applyFont="1" applyFill="1" applyBorder="1" applyAlignment="1">
      <alignment horizontal="left" vertical="center" wrapText="1"/>
    </xf>
    <xf numFmtId="170" fontId="36" fillId="0" borderId="12" xfId="104" applyNumberFormat="1" applyFont="1" applyFill="1" applyBorder="1" applyAlignment="1">
      <alignment horizontal="center" vertical="center" wrapText="1"/>
    </xf>
    <xf numFmtId="0" fontId="36" fillId="0" borderId="0" xfId="104" applyFont="1" applyFill="1" applyBorder="1" applyAlignment="1">
      <alignment horizontal="left" vertical="center" wrapText="1"/>
    </xf>
    <xf numFmtId="170" fontId="36" fillId="0" borderId="0" xfId="104" applyNumberFormat="1" applyFont="1" applyFill="1" applyBorder="1" applyAlignment="1">
      <alignment horizontal="center" vertical="center" wrapText="1"/>
    </xf>
    <xf numFmtId="43" fontId="36" fillId="0" borderId="11" xfId="104" applyNumberFormat="1" applyFont="1" applyFill="1" applyBorder="1" applyAlignment="1">
      <alignment horizontal="center" vertical="center" wrapText="1"/>
    </xf>
    <xf numFmtId="0" fontId="37" fillId="0" borderId="67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2" fontId="36" fillId="0" borderId="11" xfId="104" applyNumberFormat="1" applyFont="1" applyFill="1" applyBorder="1" applyAlignment="1">
      <alignment horizontal="center" vertical="center" wrapText="1"/>
    </xf>
    <xf numFmtId="1" fontId="36" fillId="0" borderId="11" xfId="104" applyNumberFormat="1" applyFont="1" applyFill="1" applyBorder="1" applyAlignment="1">
      <alignment horizontal="center" vertical="center" wrapText="1"/>
    </xf>
    <xf numFmtId="2" fontId="36" fillId="0" borderId="11" xfId="104" applyNumberFormat="1" applyFont="1" applyFill="1" applyBorder="1" applyAlignment="1">
      <alignment horizontal="left" vertical="center" wrapText="1"/>
    </xf>
    <xf numFmtId="170" fontId="36" fillId="0" borderId="11" xfId="104" applyNumberFormat="1" applyFont="1" applyFill="1" applyBorder="1" applyAlignment="1">
      <alignment horizontal="center" vertical="center" wrapText="1"/>
    </xf>
    <xf numFmtId="10" fontId="31" fillId="0" borderId="65" xfId="6" applyNumberFormat="1" applyFont="1" applyBorder="1" applyAlignment="1">
      <alignment horizontal="center" vertical="top"/>
    </xf>
    <xf numFmtId="2" fontId="32" fillId="0" borderId="0" xfId="0" applyNumberFormat="1" applyFont="1" applyFill="1"/>
    <xf numFmtId="0" fontId="37" fillId="0" borderId="0" xfId="0" applyFont="1" applyFill="1" applyBorder="1" applyAlignment="1">
      <alignment horizontal="center" vertical="center"/>
    </xf>
    <xf numFmtId="0" fontId="32" fillId="34" borderId="62" xfId="0" applyFont="1" applyFill="1" applyBorder="1" applyAlignment="1">
      <alignment horizontal="center" vertical="top"/>
    </xf>
    <xf numFmtId="0" fontId="37" fillId="34" borderId="62" xfId="0" applyFont="1" applyFill="1" applyBorder="1" applyAlignment="1">
      <alignment horizontal="left" vertical="top"/>
    </xf>
    <xf numFmtId="0" fontId="37" fillId="34" borderId="62" xfId="0" applyFont="1" applyFill="1" applyBorder="1" applyAlignment="1">
      <alignment horizontal="center" vertical="top"/>
    </xf>
    <xf numFmtId="167" fontId="37" fillId="34" borderId="62" xfId="6" applyNumberFormat="1" applyFont="1" applyFill="1" applyBorder="1" applyAlignment="1">
      <alignment vertical="top"/>
    </xf>
    <xf numFmtId="43" fontId="37" fillId="34" borderId="62" xfId="6" applyNumberFormat="1" applyFont="1" applyFill="1" applyBorder="1" applyAlignment="1">
      <alignment vertical="top"/>
    </xf>
    <xf numFmtId="43" fontId="36" fillId="34" borderId="62" xfId="1" applyNumberFormat="1" applyFont="1" applyFill="1" applyBorder="1" applyAlignment="1" applyProtection="1">
      <alignment vertical="top"/>
    </xf>
    <xf numFmtId="43" fontId="37" fillId="34" borderId="15" xfId="6" applyNumberFormat="1" applyFont="1" applyFill="1" applyBorder="1" applyAlignment="1">
      <alignment vertical="top" wrapText="1"/>
    </xf>
    <xf numFmtId="0" fontId="32" fillId="35" borderId="27" xfId="0" applyFont="1" applyFill="1" applyBorder="1" applyAlignment="1">
      <alignment horizontal="center" vertical="top"/>
    </xf>
    <xf numFmtId="0" fontId="37" fillId="35" borderId="27" xfId="0" applyFont="1" applyFill="1" applyBorder="1" applyAlignment="1">
      <alignment horizontal="left" vertical="top"/>
    </xf>
    <xf numFmtId="0" fontId="37" fillId="35" borderId="27" xfId="0" applyFont="1" applyFill="1" applyBorder="1" applyAlignment="1">
      <alignment horizontal="center" vertical="top"/>
    </xf>
    <xf numFmtId="167" fontId="37" fillId="35" borderId="27" xfId="6" applyNumberFormat="1" applyFont="1" applyFill="1" applyBorder="1" applyAlignment="1">
      <alignment vertical="top"/>
    </xf>
    <xf numFmtId="43" fontId="37" fillId="35" borderId="27" xfId="6" applyNumberFormat="1" applyFont="1" applyFill="1" applyBorder="1" applyAlignment="1">
      <alignment vertical="top"/>
    </xf>
    <xf numFmtId="43" fontId="37" fillId="35" borderId="28" xfId="6" applyNumberFormat="1" applyFont="1" applyFill="1" applyBorder="1" applyAlignment="1">
      <alignment vertical="top"/>
    </xf>
    <xf numFmtId="165" fontId="36" fillId="0" borderId="0" xfId="2" applyFont="1" applyFill="1" applyBorder="1" applyAlignment="1" applyProtection="1">
      <alignment horizontal="justify" vertical="top" wrapText="1"/>
    </xf>
    <xf numFmtId="0" fontId="37" fillId="0" borderId="15" xfId="0" applyFont="1" applyFill="1" applyBorder="1" applyAlignment="1">
      <alignment horizontal="center" vertical="top"/>
    </xf>
    <xf numFmtId="0" fontId="37" fillId="20" borderId="13" xfId="0" applyFont="1" applyFill="1" applyBorder="1" applyAlignment="1">
      <alignment vertical="top"/>
    </xf>
    <xf numFmtId="0" fontId="37" fillId="20" borderId="62" xfId="0" applyFont="1" applyFill="1" applyBorder="1" applyAlignment="1">
      <alignment vertical="top"/>
    </xf>
    <xf numFmtId="0" fontId="37" fillId="31" borderId="62" xfId="98" applyFont="1" applyFill="1" applyBorder="1" applyAlignment="1">
      <alignment vertical="top" wrapText="1"/>
    </xf>
    <xf numFmtId="2" fontId="32" fillId="31" borderId="62" xfId="98" applyNumberFormat="1" applyFont="1" applyFill="1" applyBorder="1" applyAlignment="1">
      <alignment vertical="top"/>
    </xf>
    <xf numFmtId="4" fontId="34" fillId="31" borderId="12" xfId="98" applyNumberFormat="1" applyFont="1" applyFill="1" applyBorder="1" applyAlignment="1">
      <alignment horizontal="right" vertical="top"/>
    </xf>
    <xf numFmtId="43" fontId="36" fillId="32" borderId="11" xfId="104" applyNumberFormat="1" applyFont="1" applyFill="1" applyBorder="1" applyAlignment="1">
      <alignment horizontal="right" vertical="center" wrapText="1"/>
    </xf>
    <xf numFmtId="43" fontId="36" fillId="32" borderId="11" xfId="104" applyNumberFormat="1" applyFont="1" applyFill="1" applyBorder="1" applyAlignment="1">
      <alignment horizontal="center" vertical="center" wrapText="1"/>
    </xf>
    <xf numFmtId="43" fontId="36" fillId="0" borderId="0" xfId="104" applyNumberFormat="1" applyFont="1" applyFill="1" applyBorder="1" applyAlignment="1">
      <alignment horizontal="right" vertical="center" wrapText="1"/>
    </xf>
    <xf numFmtId="2" fontId="36" fillId="0" borderId="11" xfId="104" applyNumberFormat="1" applyFont="1" applyFill="1" applyBorder="1" applyAlignment="1">
      <alignment horizontal="justify" vertical="center" wrapText="1"/>
    </xf>
    <xf numFmtId="169" fontId="36" fillId="0" borderId="11" xfId="104" applyNumberFormat="1" applyFont="1" applyFill="1" applyBorder="1" applyAlignment="1">
      <alignment horizontal="center" vertical="center" wrapText="1"/>
    </xf>
    <xf numFmtId="2" fontId="36" fillId="0" borderId="11" xfId="104" applyNumberFormat="1" applyFont="1" applyFill="1" applyBorder="1" applyAlignment="1">
      <alignment horizontal="right" vertical="center" wrapText="1"/>
    </xf>
    <xf numFmtId="43" fontId="36" fillId="0" borderId="11" xfId="104" applyNumberFormat="1" applyFont="1" applyFill="1" applyBorder="1" applyAlignment="1">
      <alignment horizontal="right" vertical="center" wrapText="1"/>
    </xf>
    <xf numFmtId="43" fontId="32" fillId="0" borderId="0" xfId="0" applyNumberFormat="1" applyFont="1" applyFill="1" applyAlignment="1">
      <alignment horizontal="justify"/>
    </xf>
    <xf numFmtId="0" fontId="37" fillId="32" borderId="12" xfId="104" applyFont="1" applyFill="1" applyBorder="1" applyAlignment="1">
      <alignment horizontal="center" vertical="center" wrapText="1"/>
    </xf>
    <xf numFmtId="1" fontId="35" fillId="32" borderId="12" xfId="3" applyNumberFormat="1" applyFont="1" applyFill="1" applyBorder="1" applyAlignment="1" applyProtection="1">
      <alignment horizontal="center" vertical="center" wrapText="1"/>
      <protection locked="0"/>
    </xf>
    <xf numFmtId="0" fontId="35" fillId="32" borderId="13" xfId="3" applyFont="1" applyFill="1" applyBorder="1" applyAlignment="1" applyProtection="1">
      <alignment horizontal="justify" vertical="center" wrapText="1"/>
      <protection locked="0"/>
    </xf>
    <xf numFmtId="171" fontId="35" fillId="32" borderId="12" xfId="3" applyNumberFormat="1" applyFont="1" applyFill="1" applyBorder="1" applyAlignment="1" applyProtection="1">
      <alignment horizontal="center" vertical="center" wrapText="1"/>
      <protection locked="0"/>
    </xf>
    <xf numFmtId="169" fontId="35" fillId="32" borderId="12" xfId="3" applyNumberFormat="1" applyFont="1" applyFill="1" applyBorder="1" applyAlignment="1" applyProtection="1">
      <alignment horizontal="center" vertical="center" wrapText="1"/>
      <protection locked="0"/>
    </xf>
    <xf numFmtId="2" fontId="35" fillId="32" borderId="12" xfId="3" applyNumberFormat="1" applyFont="1" applyFill="1" applyBorder="1" applyAlignment="1" applyProtection="1">
      <alignment horizontal="right" vertical="center" wrapText="1"/>
      <protection locked="0"/>
    </xf>
    <xf numFmtId="43" fontId="37" fillId="32" borderId="12" xfId="10" applyNumberFormat="1" applyFont="1" applyFill="1" applyBorder="1" applyAlignment="1" applyProtection="1">
      <alignment horizontal="right" vertical="center" wrapText="1"/>
      <protection locked="0"/>
    </xf>
    <xf numFmtId="0" fontId="36" fillId="20" borderId="0" xfId="104" applyFont="1" applyFill="1" applyBorder="1" applyAlignment="1">
      <alignment horizontal="center" vertical="center" wrapText="1"/>
    </xf>
    <xf numFmtId="0" fontId="36" fillId="20" borderId="0" xfId="104" applyFont="1" applyFill="1" applyBorder="1" applyAlignment="1">
      <alignment horizontal="justify" vertical="center" wrapText="1"/>
    </xf>
    <xf numFmtId="169" fontId="36" fillId="20" borderId="0" xfId="104" applyNumberFormat="1" applyFont="1" applyFill="1" applyBorder="1" applyAlignment="1">
      <alignment horizontal="center" vertical="center" wrapText="1"/>
    </xf>
    <xf numFmtId="2" fontId="36" fillId="20" borderId="0" xfId="104" applyNumberFormat="1" applyFont="1" applyFill="1" applyBorder="1" applyAlignment="1">
      <alignment horizontal="right" vertical="center" wrapText="1"/>
    </xf>
    <xf numFmtId="43" fontId="36" fillId="20" borderId="0" xfId="104" applyNumberFormat="1" applyFont="1" applyFill="1" applyBorder="1" applyAlignment="1">
      <alignment horizontal="right" vertical="center" wrapText="1"/>
    </xf>
    <xf numFmtId="43" fontId="36" fillId="20" borderId="0" xfId="104" applyNumberFormat="1" applyFont="1" applyFill="1" applyBorder="1" applyAlignment="1">
      <alignment horizontal="center" vertical="center" wrapText="1"/>
    </xf>
    <xf numFmtId="169" fontId="37" fillId="32" borderId="12" xfId="104" applyNumberFormat="1" applyFont="1" applyFill="1" applyBorder="1" applyAlignment="1">
      <alignment horizontal="center" vertical="center" wrapText="1"/>
    </xf>
    <xf numFmtId="0" fontId="32" fillId="36" borderId="0" xfId="0" applyFont="1" applyFill="1"/>
    <xf numFmtId="10" fontId="41" fillId="19" borderId="26" xfId="5" applyNumberFormat="1" applyFont="1" applyFill="1" applyBorder="1" applyAlignment="1" applyProtection="1">
      <alignment horizontal="center" vertical="top" wrapText="1"/>
    </xf>
    <xf numFmtId="0" fontId="40" fillId="18" borderId="35" xfId="0" applyFont="1" applyFill="1" applyBorder="1" applyAlignment="1">
      <alignment horizontal="left" vertical="top"/>
    </xf>
    <xf numFmtId="0" fontId="40" fillId="18" borderId="36" xfId="0" applyFont="1" applyFill="1" applyBorder="1" applyAlignment="1">
      <alignment horizontal="left" vertical="top"/>
    </xf>
    <xf numFmtId="0" fontId="40" fillId="18" borderId="32" xfId="0" applyFont="1" applyFill="1" applyBorder="1" applyAlignment="1">
      <alignment horizontal="left" vertical="top"/>
    </xf>
    <xf numFmtId="0" fontId="40" fillId="18" borderId="33" xfId="0" applyFont="1" applyFill="1" applyBorder="1" applyAlignment="1">
      <alignment horizontal="left" vertical="top"/>
    </xf>
    <xf numFmtId="0" fontId="40" fillId="20" borderId="22" xfId="0" applyFont="1" applyFill="1" applyBorder="1" applyAlignment="1">
      <alignment horizontal="center"/>
    </xf>
    <xf numFmtId="0" fontId="40" fillId="20" borderId="0" xfId="0" applyFont="1" applyFill="1" applyBorder="1" applyAlignment="1">
      <alignment horizontal="center"/>
    </xf>
    <xf numFmtId="4" fontId="32" fillId="20" borderId="22" xfId="4" applyNumberFormat="1" applyFont="1" applyFill="1" applyBorder="1" applyAlignment="1">
      <alignment horizontal="left" vertical="center" wrapText="1"/>
    </xf>
    <xf numFmtId="4" fontId="32" fillId="20" borderId="0" xfId="4" applyNumberFormat="1" applyFont="1" applyFill="1" applyBorder="1" applyAlignment="1">
      <alignment horizontal="left" vertical="center" wrapText="1"/>
    </xf>
    <xf numFmtId="0" fontId="37" fillId="18" borderId="9" xfId="0" applyFont="1" applyFill="1" applyBorder="1" applyAlignment="1">
      <alignment horizontal="center" vertical="center"/>
    </xf>
    <xf numFmtId="0" fontId="37" fillId="18" borderId="63" xfId="0" applyFont="1" applyFill="1" applyBorder="1" applyAlignment="1">
      <alignment horizontal="center" vertical="center"/>
    </xf>
    <xf numFmtId="0" fontId="37" fillId="18" borderId="14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top"/>
    </xf>
    <xf numFmtId="0" fontId="37" fillId="0" borderId="62" xfId="0" applyFont="1" applyFill="1" applyBorder="1" applyAlignment="1">
      <alignment horizontal="center" vertical="top"/>
    </xf>
    <xf numFmtId="0" fontId="37" fillId="0" borderId="15" xfId="0" applyFont="1" applyFill="1" applyBorder="1" applyAlignment="1">
      <alignment horizontal="center" vertical="top"/>
    </xf>
    <xf numFmtId="0" fontId="32" fillId="20" borderId="62" xfId="0" applyFont="1" applyFill="1" applyBorder="1" applyAlignment="1">
      <alignment horizontal="center" vertical="top"/>
    </xf>
    <xf numFmtId="0" fontId="32" fillId="20" borderId="15" xfId="0" applyFont="1" applyFill="1" applyBorder="1" applyAlignment="1">
      <alignment horizontal="center" vertical="top"/>
    </xf>
    <xf numFmtId="0" fontId="37" fillId="31" borderId="62" xfId="98" applyFont="1" applyFill="1" applyBorder="1" applyAlignment="1">
      <alignment horizontal="right" vertical="top" wrapText="1"/>
    </xf>
    <xf numFmtId="0" fontId="37" fillId="35" borderId="13" xfId="0" applyFont="1" applyFill="1" applyBorder="1" applyAlignment="1">
      <alignment horizontal="center" vertical="center"/>
    </xf>
    <xf numFmtId="0" fontId="37" fillId="35" borderId="62" xfId="0" applyFont="1" applyFill="1" applyBorder="1" applyAlignment="1">
      <alignment horizontal="center" vertical="center"/>
    </xf>
    <xf numFmtId="0" fontId="37" fillId="35" borderId="15" xfId="0" applyFont="1" applyFill="1" applyBorder="1" applyAlignment="1">
      <alignment horizontal="center" vertical="center"/>
    </xf>
    <xf numFmtId="0" fontId="34" fillId="20" borderId="22" xfId="0" applyFont="1" applyFill="1" applyBorder="1" applyAlignment="1">
      <alignment horizontal="center" vertical="center"/>
    </xf>
    <xf numFmtId="0" fontId="34" fillId="20" borderId="0" xfId="0" applyFont="1" applyFill="1" applyBorder="1" applyAlignment="1">
      <alignment horizontal="center" vertical="center"/>
    </xf>
    <xf numFmtId="0" fontId="34" fillId="20" borderId="23" xfId="0" applyFont="1" applyFill="1" applyBorder="1" applyAlignment="1">
      <alignment horizontal="center" vertical="center"/>
    </xf>
    <xf numFmtId="4" fontId="35" fillId="0" borderId="25" xfId="4" applyNumberFormat="1" applyFont="1" applyFill="1" applyBorder="1" applyAlignment="1">
      <alignment horizontal="center" vertical="center" wrapText="1"/>
    </xf>
    <xf numFmtId="4" fontId="35" fillId="0" borderId="10" xfId="4" applyNumberFormat="1" applyFont="1" applyFill="1" applyBorder="1" applyAlignment="1">
      <alignment horizontal="center" vertical="center" wrapText="1"/>
    </xf>
    <xf numFmtId="43" fontId="35" fillId="0" borderId="25" xfId="4" applyNumberFormat="1" applyFont="1" applyFill="1" applyBorder="1" applyAlignment="1">
      <alignment horizontal="right" vertical="center" wrapText="1"/>
    </xf>
    <xf numFmtId="43" fontId="35" fillId="0" borderId="10" xfId="4" applyNumberFormat="1" applyFont="1" applyFill="1" applyBorder="1" applyAlignment="1">
      <alignment horizontal="right" vertical="center" wrapText="1"/>
    </xf>
    <xf numFmtId="43" fontId="35" fillId="0" borderId="25" xfId="4" applyNumberFormat="1" applyFont="1" applyFill="1" applyBorder="1" applyAlignment="1">
      <alignment horizontal="center" vertical="center" wrapText="1"/>
    </xf>
    <xf numFmtId="43" fontId="35" fillId="0" borderId="10" xfId="4" applyNumberFormat="1" applyFont="1" applyFill="1" applyBorder="1" applyAlignment="1">
      <alignment horizontal="center" vertical="center" wrapText="1"/>
    </xf>
    <xf numFmtId="43" fontId="35" fillId="0" borderId="16" xfId="4" applyNumberFormat="1" applyFont="1" applyFill="1" applyBorder="1" applyAlignment="1">
      <alignment horizontal="center" vertical="center" wrapText="1"/>
    </xf>
    <xf numFmtId="43" fontId="35" fillId="0" borderId="11" xfId="4" applyNumberFormat="1" applyFont="1" applyFill="1" applyBorder="1" applyAlignment="1">
      <alignment horizontal="center" vertical="center" wrapText="1"/>
    </xf>
    <xf numFmtId="1" fontId="35" fillId="0" borderId="25" xfId="4" applyNumberFormat="1" applyFont="1" applyFill="1" applyBorder="1" applyAlignment="1">
      <alignment horizontal="center" vertical="center" wrapText="1"/>
    </xf>
    <xf numFmtId="1" fontId="35" fillId="0" borderId="10" xfId="4" applyNumberFormat="1" applyFont="1" applyFill="1" applyBorder="1" applyAlignment="1">
      <alignment horizontal="center" vertical="center" wrapText="1"/>
    </xf>
    <xf numFmtId="169" fontId="35" fillId="0" borderId="25" xfId="4" applyNumberFormat="1" applyFont="1" applyFill="1" applyBorder="1" applyAlignment="1">
      <alignment horizontal="center" vertical="center" wrapText="1"/>
    </xf>
    <xf numFmtId="169" fontId="35" fillId="0" borderId="10" xfId="4" applyNumberFormat="1" applyFont="1" applyFill="1" applyBorder="1" applyAlignment="1">
      <alignment horizontal="center" vertical="center" wrapText="1"/>
    </xf>
    <xf numFmtId="0" fontId="32" fillId="20" borderId="39" xfId="0" applyFont="1" applyFill="1" applyBorder="1" applyAlignment="1">
      <alignment horizontal="center"/>
    </xf>
    <xf numFmtId="0" fontId="32" fillId="20" borderId="40" xfId="0" applyFont="1" applyFill="1" applyBorder="1" applyAlignment="1">
      <alignment horizontal="center"/>
    </xf>
    <xf numFmtId="4" fontId="32" fillId="20" borderId="23" xfId="4" applyNumberFormat="1" applyFont="1" applyFill="1" applyBorder="1" applyAlignment="1">
      <alignment horizontal="left" vertical="center" wrapText="1"/>
    </xf>
    <xf numFmtId="1" fontId="36" fillId="0" borderId="0" xfId="104" applyNumberFormat="1" applyFont="1" applyFill="1" applyBorder="1" applyAlignment="1">
      <alignment horizontal="left" vertical="center" wrapText="1"/>
    </xf>
    <xf numFmtId="0" fontId="36" fillId="0" borderId="13" xfId="104" applyFont="1" applyFill="1" applyBorder="1" applyAlignment="1">
      <alignment horizontal="center" vertical="center" wrapText="1"/>
    </xf>
    <xf numFmtId="0" fontId="36" fillId="0" borderId="62" xfId="104" applyFont="1" applyFill="1" applyBorder="1" applyAlignment="1">
      <alignment horizontal="center" vertical="center" wrapText="1"/>
    </xf>
    <xf numFmtId="0" fontId="42" fillId="0" borderId="62" xfId="104" applyFont="1" applyFill="1" applyBorder="1" applyAlignment="1">
      <alignment horizontal="justify" vertical="center" wrapText="1"/>
    </xf>
    <xf numFmtId="169" fontId="36" fillId="0" borderId="62" xfId="104" applyNumberFormat="1" applyFont="1" applyFill="1" applyBorder="1" applyAlignment="1">
      <alignment horizontal="center" vertical="center" wrapText="1"/>
    </xf>
    <xf numFmtId="2" fontId="36" fillId="0" borderId="62" xfId="104" applyNumberFormat="1" applyFont="1" applyFill="1" applyBorder="1" applyAlignment="1">
      <alignment horizontal="right" vertical="center" wrapText="1"/>
    </xf>
    <xf numFmtId="43" fontId="36" fillId="0" borderId="62" xfId="104" applyNumberFormat="1" applyFont="1" applyFill="1" applyBorder="1" applyAlignment="1">
      <alignment horizontal="right" vertical="center" wrapText="1"/>
    </xf>
    <xf numFmtId="43" fontId="36" fillId="0" borderId="62" xfId="104" applyNumberFormat="1" applyFont="1" applyFill="1" applyBorder="1" applyAlignment="1">
      <alignment horizontal="center" vertical="center" wrapText="1"/>
    </xf>
    <xf numFmtId="43" fontId="36" fillId="0" borderId="15" xfId="104" applyNumberFormat="1" applyFont="1" applyFill="1" applyBorder="1" applyAlignment="1">
      <alignment horizontal="center" vertical="center" wrapText="1"/>
    </xf>
    <xf numFmtId="2" fontId="37" fillId="32" borderId="12" xfId="104" applyNumberFormat="1" applyFont="1" applyFill="1" applyBorder="1" applyAlignment="1">
      <alignment horizontal="center" vertical="center" wrapText="1"/>
    </xf>
    <xf numFmtId="2" fontId="37" fillId="32" borderId="12" xfId="6" applyNumberFormat="1" applyFont="1" applyFill="1" applyBorder="1" applyAlignment="1">
      <alignment horizontal="center" vertical="center" wrapText="1"/>
    </xf>
    <xf numFmtId="0" fontId="40" fillId="20" borderId="23" xfId="0" applyFont="1" applyFill="1" applyBorder="1" applyAlignment="1">
      <alignment horizontal="center"/>
    </xf>
    <xf numFmtId="4" fontId="43" fillId="20" borderId="43" xfId="104" applyNumberFormat="1" applyFont="1" applyFill="1" applyBorder="1" applyAlignment="1">
      <alignment horizontal="left" vertical="center" wrapText="1"/>
    </xf>
    <xf numFmtId="4" fontId="43" fillId="20" borderId="45" xfId="104" applyNumberFormat="1" applyFont="1" applyFill="1" applyBorder="1" applyAlignment="1">
      <alignment horizontal="left" vertical="center" wrapText="1"/>
    </xf>
    <xf numFmtId="4" fontId="43" fillId="20" borderId="44" xfId="104" applyNumberFormat="1" applyFont="1" applyFill="1" applyBorder="1" applyAlignment="1">
      <alignment horizontal="left" vertical="center" wrapText="1"/>
    </xf>
    <xf numFmtId="0" fontId="43" fillId="0" borderId="0" xfId="0" applyFont="1" applyProtection="1"/>
    <xf numFmtId="4" fontId="43" fillId="20" borderId="22" xfId="104" applyNumberFormat="1" applyFont="1" applyFill="1" applyBorder="1" applyAlignment="1">
      <alignment horizontal="left" vertical="center" wrapText="1"/>
    </xf>
    <xf numFmtId="4" fontId="43" fillId="20" borderId="0" xfId="104" applyNumberFormat="1" applyFont="1" applyFill="1" applyBorder="1" applyAlignment="1">
      <alignment horizontal="left" vertical="center" wrapText="1"/>
    </xf>
    <xf numFmtId="4" fontId="43" fillId="20" borderId="23" xfId="104" applyNumberFormat="1" applyFont="1" applyFill="1" applyBorder="1" applyAlignment="1">
      <alignment horizontal="left" vertical="center" wrapText="1"/>
    </xf>
    <xf numFmtId="0" fontId="43" fillId="20" borderId="22" xfId="0" applyFont="1" applyFill="1" applyBorder="1" applyAlignment="1">
      <alignment horizontal="left" vertical="center" wrapText="1"/>
    </xf>
    <xf numFmtId="0" fontId="43" fillId="20" borderId="0" xfId="0" applyFont="1" applyFill="1" applyBorder="1" applyAlignment="1">
      <alignment horizontal="left" vertical="center" wrapText="1"/>
    </xf>
    <xf numFmtId="0" fontId="43" fillId="20" borderId="23" xfId="0" applyFont="1" applyFill="1" applyBorder="1" applyAlignment="1">
      <alignment horizontal="left" vertical="center" wrapText="1"/>
    </xf>
    <xf numFmtId="0" fontId="43" fillId="20" borderId="68" xfId="0" applyFont="1" applyFill="1" applyBorder="1" applyProtection="1"/>
    <xf numFmtId="0" fontId="43" fillId="20" borderId="69" xfId="0" applyFont="1" applyFill="1" applyBorder="1" applyProtection="1"/>
    <xf numFmtId="0" fontId="43" fillId="20" borderId="70" xfId="0" applyFont="1" applyFill="1" applyBorder="1" applyProtection="1"/>
    <xf numFmtId="0" fontId="43" fillId="20" borderId="71" xfId="0" applyFont="1" applyFill="1" applyBorder="1" applyProtection="1"/>
    <xf numFmtId="0" fontId="44" fillId="20" borderId="72" xfId="0" applyFont="1" applyFill="1" applyBorder="1" applyAlignment="1" applyProtection="1">
      <alignment horizontal="center" vertical="center"/>
    </xf>
    <xf numFmtId="0" fontId="43" fillId="20" borderId="73" xfId="0" applyFont="1" applyFill="1" applyBorder="1" applyProtection="1"/>
    <xf numFmtId="0" fontId="43" fillId="20" borderId="22" xfId="0" applyFont="1" applyFill="1" applyBorder="1" applyProtection="1"/>
    <xf numFmtId="0" fontId="46" fillId="20" borderId="0" xfId="0" applyFont="1" applyFill="1" applyBorder="1" applyAlignment="1" applyProtection="1">
      <alignment horizontal="center" vertical="center"/>
    </xf>
    <xf numFmtId="0" fontId="43" fillId="20" borderId="23" xfId="0" applyFont="1" applyFill="1" applyBorder="1" applyProtection="1"/>
    <xf numFmtId="0" fontId="43" fillId="0" borderId="0" xfId="0" applyFont="1" applyBorder="1" applyProtection="1"/>
    <xf numFmtId="0" fontId="45" fillId="20" borderId="0" xfId="0" applyFont="1" applyFill="1" applyBorder="1" applyAlignment="1" applyProtection="1">
      <alignment horizontal="center" vertical="center"/>
    </xf>
    <xf numFmtId="0" fontId="45" fillId="20" borderId="0" xfId="0" applyFont="1" applyFill="1" applyBorder="1" applyAlignment="1" applyProtection="1">
      <alignment vertical="center"/>
    </xf>
    <xf numFmtId="0" fontId="47" fillId="20" borderId="0" xfId="0" applyFont="1" applyFill="1" applyBorder="1" applyAlignment="1" applyProtection="1">
      <alignment vertical="center"/>
    </xf>
    <xf numFmtId="172" fontId="48" fillId="35" borderId="13" xfId="6" applyNumberFormat="1" applyFont="1" applyFill="1" applyBorder="1" applyAlignment="1" applyProtection="1">
      <alignment horizontal="left" vertical="center" wrapText="1"/>
      <protection locked="0"/>
    </xf>
    <xf numFmtId="172" fontId="48" fillId="35" borderId="62" xfId="6" applyNumberFormat="1" applyFont="1" applyFill="1" applyBorder="1" applyAlignment="1" applyProtection="1">
      <alignment horizontal="left" vertical="center" wrapText="1"/>
      <protection locked="0"/>
    </xf>
    <xf numFmtId="172" fontId="48" fillId="35" borderId="15" xfId="6" applyNumberFormat="1" applyFont="1" applyFill="1" applyBorder="1" applyAlignment="1" applyProtection="1">
      <alignment horizontal="left" vertical="center" wrapText="1"/>
      <protection locked="0"/>
    </xf>
    <xf numFmtId="0" fontId="43" fillId="20" borderId="0" xfId="0" applyFont="1" applyFill="1" applyBorder="1" applyProtection="1"/>
    <xf numFmtId="0" fontId="45" fillId="35" borderId="12" xfId="0" applyFont="1" applyFill="1" applyBorder="1" applyAlignment="1" applyProtection="1">
      <alignment horizontal="center"/>
      <protection locked="0"/>
    </xf>
    <xf numFmtId="0" fontId="49" fillId="0" borderId="0" xfId="0" applyFont="1" applyProtection="1"/>
    <xf numFmtId="0" fontId="50" fillId="20" borderId="0" xfId="0" applyFont="1" applyFill="1" applyBorder="1" applyAlignment="1" applyProtection="1">
      <alignment vertical="center"/>
    </xf>
    <xf numFmtId="0" fontId="43" fillId="20" borderId="0" xfId="0" applyFont="1" applyFill="1" applyBorder="1" applyAlignment="1" applyProtection="1">
      <alignment vertical="center"/>
    </xf>
    <xf numFmtId="0" fontId="43" fillId="20" borderId="74" xfId="0" applyFont="1" applyFill="1" applyBorder="1" applyAlignment="1" applyProtection="1">
      <alignment horizontal="justify" vertical="top" wrapText="1"/>
    </xf>
    <xf numFmtId="0" fontId="43" fillId="20" borderId="75" xfId="0" applyFont="1" applyFill="1" applyBorder="1" applyAlignment="1" applyProtection="1">
      <alignment horizontal="justify" vertical="top" wrapText="1"/>
    </xf>
    <xf numFmtId="0" fontId="43" fillId="20" borderId="76" xfId="0" applyFont="1" applyFill="1" applyBorder="1" applyAlignment="1" applyProtection="1">
      <alignment horizontal="justify" vertical="top" wrapText="1"/>
    </xf>
    <xf numFmtId="10" fontId="48" fillId="20" borderId="12" xfId="5" applyNumberFormat="1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Alignment="1" applyProtection="1">
      <alignment horizontal="left" vertical="center" wrapText="1"/>
    </xf>
    <xf numFmtId="0" fontId="43" fillId="20" borderId="0" xfId="0" applyFont="1" applyFill="1" applyBorder="1" applyAlignment="1" applyProtection="1">
      <alignment horizontal="center" vertical="center"/>
    </xf>
    <xf numFmtId="0" fontId="45" fillId="20" borderId="0" xfId="0" applyFont="1" applyFill="1" applyBorder="1" applyAlignment="1" applyProtection="1">
      <alignment horizontal="center" vertical="center" wrapText="1"/>
    </xf>
    <xf numFmtId="0" fontId="51" fillId="0" borderId="0" xfId="0" applyFont="1" applyProtection="1"/>
    <xf numFmtId="10" fontId="48" fillId="20" borderId="12" xfId="5" applyNumberFormat="1" applyFont="1" applyFill="1" applyBorder="1" applyAlignment="1" applyProtection="1">
      <alignment horizontal="center" vertical="center" wrapText="1"/>
      <protection locked="0"/>
    </xf>
    <xf numFmtId="0" fontId="45" fillId="20" borderId="0" xfId="0" quotePrefix="1" applyFont="1" applyFill="1" applyBorder="1" applyAlignment="1" applyProtection="1">
      <alignment vertical="center"/>
    </xf>
    <xf numFmtId="10" fontId="45" fillId="20" borderId="0" xfId="0" applyNumberFormat="1" applyFont="1" applyFill="1" applyBorder="1" applyAlignment="1" applyProtection="1">
      <alignment horizontal="center" vertical="center"/>
    </xf>
    <xf numFmtId="10" fontId="48" fillId="20" borderId="0" xfId="5" applyNumberFormat="1" applyFont="1" applyFill="1" applyBorder="1" applyAlignment="1" applyProtection="1">
      <alignment vertical="center" wrapText="1"/>
    </xf>
    <xf numFmtId="10" fontId="45" fillId="20" borderId="0" xfId="5" applyNumberFormat="1" applyFont="1" applyFill="1" applyBorder="1" applyAlignment="1" applyProtection="1">
      <alignment vertical="center" wrapText="1"/>
    </xf>
    <xf numFmtId="0" fontId="45" fillId="20" borderId="0" xfId="0" applyFont="1" applyFill="1" applyBorder="1" applyAlignment="1" applyProtection="1">
      <alignment horizontal="center"/>
    </xf>
    <xf numFmtId="173" fontId="52" fillId="20" borderId="0" xfId="0" applyNumberFormat="1" applyFont="1" applyFill="1" applyBorder="1" applyProtection="1"/>
    <xf numFmtId="0" fontId="43" fillId="20" borderId="0" xfId="0" applyFont="1" applyFill="1" applyBorder="1" applyAlignment="1" applyProtection="1">
      <alignment horizontal="left" vertical="center" wrapText="1"/>
    </xf>
    <xf numFmtId="10" fontId="43" fillId="0" borderId="0" xfId="5" applyNumberFormat="1" applyFont="1" applyProtection="1"/>
    <xf numFmtId="0" fontId="43" fillId="20" borderId="43" xfId="0" applyFont="1" applyFill="1" applyBorder="1" applyProtection="1"/>
    <xf numFmtId="0" fontId="43" fillId="20" borderId="45" xfId="0" applyFont="1" applyFill="1" applyBorder="1" applyProtection="1"/>
    <xf numFmtId="0" fontId="43" fillId="20" borderId="44" xfId="0" applyFont="1" applyFill="1" applyBorder="1" applyProtection="1"/>
    <xf numFmtId="0" fontId="45" fillId="20" borderId="0" xfId="0" applyFont="1" applyFill="1" applyBorder="1" applyAlignment="1" applyProtection="1">
      <alignment horizontal="center" vertical="center" wrapText="1"/>
    </xf>
    <xf numFmtId="0" fontId="43" fillId="0" borderId="0" xfId="0" applyFont="1" applyAlignment="1" applyProtection="1">
      <alignment horizontal="center"/>
    </xf>
    <xf numFmtId="0" fontId="43" fillId="20" borderId="0" xfId="0" applyFont="1" applyFill="1" applyBorder="1" applyAlignment="1" applyProtection="1">
      <alignment horizontal="left" vertical="center" wrapText="1"/>
    </xf>
    <xf numFmtId="10" fontId="43" fillId="20" borderId="0" xfId="5" applyNumberFormat="1" applyFont="1" applyFill="1" applyBorder="1" applyAlignment="1" applyProtection="1">
      <alignment horizontal="center" vertical="center" wrapText="1"/>
    </xf>
    <xf numFmtId="10" fontId="49" fillId="20" borderId="67" xfId="5" applyNumberFormat="1" applyFont="1" applyFill="1" applyBorder="1" applyAlignment="1" applyProtection="1">
      <alignment horizontal="center" vertical="center" wrapText="1"/>
      <protection locked="0"/>
    </xf>
    <xf numFmtId="10" fontId="43" fillId="20" borderId="23" xfId="0" applyNumberFormat="1" applyFont="1" applyFill="1" applyBorder="1" applyProtection="1"/>
    <xf numFmtId="10" fontId="43" fillId="0" borderId="0" xfId="0" applyNumberFormat="1" applyFont="1" applyBorder="1" applyProtection="1"/>
    <xf numFmtId="10" fontId="43" fillId="0" borderId="0" xfId="0" applyNumberFormat="1" applyFont="1" applyProtection="1"/>
    <xf numFmtId="10" fontId="49" fillId="20" borderId="16" xfId="5" applyNumberFormat="1" applyFont="1" applyFill="1" applyBorder="1" applyAlignment="1" applyProtection="1">
      <alignment horizontal="center" vertical="center" wrapText="1"/>
      <protection locked="0"/>
    </xf>
    <xf numFmtId="10" fontId="49" fillId="20" borderId="11" xfId="5" applyNumberFormat="1" applyFont="1" applyFill="1" applyBorder="1" applyAlignment="1" applyProtection="1">
      <alignment horizontal="center" vertical="center" wrapText="1"/>
      <protection locked="0"/>
    </xf>
    <xf numFmtId="0" fontId="45" fillId="20" borderId="0" xfId="0" applyFont="1" applyFill="1" applyBorder="1" applyAlignment="1" applyProtection="1">
      <alignment horizontal="left" vertical="center" wrapText="1"/>
    </xf>
    <xf numFmtId="173" fontId="45" fillId="20" borderId="0" xfId="5" applyNumberFormat="1" applyFont="1" applyFill="1" applyBorder="1" applyAlignment="1" applyProtection="1">
      <alignment horizontal="center" vertical="center" wrapText="1"/>
    </xf>
    <xf numFmtId="173" fontId="43" fillId="0" borderId="0" xfId="0" applyNumberFormat="1" applyFont="1" applyProtection="1"/>
    <xf numFmtId="0" fontId="53" fillId="20" borderId="0" xfId="0" applyFont="1" applyFill="1" applyBorder="1" applyProtection="1"/>
    <xf numFmtId="10" fontId="52" fillId="20" borderId="0" xfId="5" applyNumberFormat="1" applyFont="1" applyFill="1" applyBorder="1" applyAlignment="1" applyProtection="1">
      <alignment horizontal="center"/>
    </xf>
    <xf numFmtId="0" fontId="45" fillId="0" borderId="0" xfId="0" applyFont="1" applyProtection="1"/>
    <xf numFmtId="0" fontId="54" fillId="20" borderId="77" xfId="0" applyFont="1" applyFill="1" applyBorder="1" applyAlignment="1" applyProtection="1">
      <alignment horizontal="center"/>
    </xf>
    <xf numFmtId="0" fontId="54" fillId="20" borderId="72" xfId="0" applyFont="1" applyFill="1" applyBorder="1" applyAlignment="1" applyProtection="1">
      <alignment horizontal="center"/>
    </xf>
    <xf numFmtId="0" fontId="54" fillId="20" borderId="78" xfId="0" applyFont="1" applyFill="1" applyBorder="1" applyAlignment="1" applyProtection="1">
      <alignment horizontal="center"/>
    </xf>
    <xf numFmtId="0" fontId="55" fillId="20" borderId="0" xfId="0" applyFont="1" applyFill="1" applyBorder="1" applyAlignment="1" applyProtection="1">
      <alignment horizontal="center"/>
    </xf>
    <xf numFmtId="0" fontId="56" fillId="20" borderId="0" xfId="0" applyFont="1" applyFill="1" applyBorder="1" applyAlignment="1" applyProtection="1">
      <alignment horizontal="center" vertical="center" wrapText="1"/>
    </xf>
    <xf numFmtId="0" fontId="56" fillId="20" borderId="0" xfId="0" applyFont="1" applyFill="1" applyBorder="1" applyAlignment="1" applyProtection="1">
      <alignment horizontal="left" vertical="center" wrapText="1"/>
    </xf>
    <xf numFmtId="10" fontId="57" fillId="20" borderId="0" xfId="5" applyNumberFormat="1" applyFont="1" applyFill="1" applyBorder="1" applyAlignment="1" applyProtection="1">
      <alignment horizontal="center" vertical="center" wrapText="1"/>
    </xf>
    <xf numFmtId="0" fontId="45" fillId="20" borderId="0" xfId="0" applyFont="1" applyFill="1" applyBorder="1" applyAlignment="1" applyProtection="1">
      <alignment horizontal="center" vertical="center"/>
    </xf>
    <xf numFmtId="0" fontId="53" fillId="20" borderId="0" xfId="0" applyFont="1" applyFill="1" applyBorder="1" applyAlignment="1" applyProtection="1">
      <alignment vertical="center" wrapText="1"/>
    </xf>
    <xf numFmtId="10" fontId="46" fillId="20" borderId="79" xfId="5" applyNumberFormat="1" applyFont="1" applyFill="1" applyBorder="1" applyAlignment="1" applyProtection="1">
      <alignment horizontal="center" vertical="center"/>
    </xf>
    <xf numFmtId="10" fontId="46" fillId="20" borderId="80" xfId="5" applyNumberFormat="1" applyFont="1" applyFill="1" applyBorder="1" applyAlignment="1" applyProtection="1">
      <alignment horizontal="center" vertical="center"/>
    </xf>
    <xf numFmtId="0" fontId="45" fillId="0" borderId="0" xfId="0" applyFont="1" applyAlignment="1" applyProtection="1">
      <alignment vertical="center"/>
    </xf>
    <xf numFmtId="0" fontId="45" fillId="0" borderId="0" xfId="0" applyFont="1" applyAlignment="1" applyProtection="1">
      <alignment vertical="center" wrapText="1"/>
    </xf>
    <xf numFmtId="0" fontId="45" fillId="20" borderId="0" xfId="0" applyFont="1" applyFill="1" applyBorder="1" applyAlignment="1" applyProtection="1">
      <alignment wrapText="1"/>
    </xf>
    <xf numFmtId="0" fontId="43" fillId="20" borderId="38" xfId="0" applyFont="1" applyFill="1" applyBorder="1" applyProtection="1"/>
    <xf numFmtId="0" fontId="56" fillId="20" borderId="39" xfId="0" applyFont="1" applyFill="1" applyBorder="1" applyAlignment="1" applyProtection="1">
      <alignment horizontal="left" vertical="center" wrapText="1"/>
    </xf>
    <xf numFmtId="10" fontId="57" fillId="20" borderId="39" xfId="5" applyNumberFormat="1" applyFont="1" applyFill="1" applyBorder="1" applyAlignment="1" applyProtection="1">
      <alignment horizontal="center" vertical="center" wrapText="1"/>
    </xf>
    <xf numFmtId="0" fontId="43" fillId="20" borderId="39" xfId="0" applyFont="1" applyFill="1" applyBorder="1" applyProtection="1"/>
    <xf numFmtId="0" fontId="43" fillId="20" borderId="40" xfId="0" applyFont="1" applyFill="1" applyBorder="1" applyProtection="1"/>
    <xf numFmtId="0" fontId="45" fillId="0" borderId="0" xfId="0" applyFont="1" applyAlignment="1" applyProtection="1">
      <alignment horizontal="center"/>
    </xf>
    <xf numFmtId="10" fontId="43" fillId="0" borderId="0" xfId="0" applyNumberFormat="1" applyFont="1" applyAlignment="1" applyProtection="1">
      <alignment horizontal="center"/>
    </xf>
    <xf numFmtId="10" fontId="43" fillId="0" borderId="0" xfId="5" applyNumberFormat="1" applyFont="1" applyAlignment="1" applyProtection="1">
      <alignment horizontal="center"/>
    </xf>
    <xf numFmtId="174" fontId="43" fillId="0" borderId="0" xfId="0" applyNumberFormat="1" applyFont="1" applyAlignment="1" applyProtection="1">
      <alignment horizontal="center"/>
    </xf>
    <xf numFmtId="9" fontId="43" fillId="0" borderId="0" xfId="5" applyFont="1" applyProtection="1"/>
    <xf numFmtId="0" fontId="45" fillId="0" borderId="43" xfId="0" applyFont="1" applyBorder="1" applyAlignment="1" applyProtection="1">
      <alignment horizontal="center"/>
    </xf>
    <xf numFmtId="0" fontId="45" fillId="0" borderId="45" xfId="0" applyFont="1" applyBorder="1" applyAlignment="1" applyProtection="1">
      <alignment horizontal="center"/>
    </xf>
    <xf numFmtId="0" fontId="45" fillId="0" borderId="44" xfId="0" applyFont="1" applyBorder="1" applyAlignment="1" applyProtection="1">
      <alignment horizontal="center"/>
    </xf>
    <xf numFmtId="0" fontId="43" fillId="0" borderId="22" xfId="0" applyFont="1" applyBorder="1" applyProtection="1"/>
    <xf numFmtId="0" fontId="43" fillId="0" borderId="23" xfId="0" applyFont="1" applyBorder="1" applyProtection="1"/>
    <xf numFmtId="0" fontId="45" fillId="0" borderId="22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 wrapText="1"/>
    </xf>
    <xf numFmtId="0" fontId="45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58" fillId="0" borderId="0" xfId="0" applyFont="1" applyAlignment="1" applyProtection="1">
      <alignment vertical="center" wrapText="1"/>
    </xf>
    <xf numFmtId="0" fontId="43" fillId="0" borderId="22" xfId="0" applyFont="1" applyBorder="1" applyAlignment="1" applyProtection="1">
      <alignment vertical="center"/>
    </xf>
    <xf numFmtId="9" fontId="43" fillId="0" borderId="0" xfId="0" applyNumberFormat="1" applyFont="1" applyProtection="1"/>
    <xf numFmtId="0" fontId="45" fillId="0" borderId="22" xfId="0" applyFont="1" applyBorder="1" applyProtection="1"/>
    <xf numFmtId="0" fontId="45" fillId="0" borderId="0" xfId="0" applyFont="1" applyBorder="1" applyProtection="1"/>
    <xf numFmtId="0" fontId="43" fillId="0" borderId="39" xfId="0" applyFont="1" applyBorder="1" applyAlignment="1" applyProtection="1">
      <alignment horizontal="center"/>
    </xf>
    <xf numFmtId="0" fontId="58" fillId="0" borderId="41" xfId="0" applyFont="1" applyBorder="1" applyAlignment="1" applyProtection="1">
      <alignment vertical="top" wrapText="1"/>
    </xf>
    <xf numFmtId="10" fontId="58" fillId="0" borderId="40" xfId="0" applyNumberFormat="1" applyFont="1" applyBorder="1" applyAlignment="1" applyProtection="1">
      <alignment horizontal="center" vertical="top" wrapText="1"/>
    </xf>
    <xf numFmtId="0" fontId="43" fillId="0" borderId="38" xfId="0" applyFont="1" applyBorder="1" applyProtection="1"/>
    <xf numFmtId="0" fontId="43" fillId="0" borderId="39" xfId="0" applyFont="1" applyBorder="1" applyProtection="1"/>
    <xf numFmtId="0" fontId="43" fillId="0" borderId="40" xfId="0" applyFont="1" applyBorder="1" applyProtection="1"/>
    <xf numFmtId="0" fontId="43" fillId="0" borderId="22" xfId="0" applyFont="1" applyBorder="1" applyAlignment="1" applyProtection="1">
      <alignment horizontal="left" wrapText="1"/>
    </xf>
    <xf numFmtId="0" fontId="43" fillId="0" borderId="0" xfId="0" applyFont="1" applyBorder="1" applyAlignment="1" applyProtection="1">
      <alignment horizontal="left" wrapText="1"/>
    </xf>
    <xf numFmtId="0" fontId="43" fillId="0" borderId="23" xfId="0" applyFont="1" applyBorder="1" applyAlignment="1" applyProtection="1">
      <alignment horizontal="left" wrapText="1"/>
    </xf>
    <xf numFmtId="0" fontId="58" fillId="0" borderId="42" xfId="0" applyFont="1" applyBorder="1" applyAlignment="1" applyProtection="1">
      <alignment vertical="top" wrapText="1"/>
    </xf>
    <xf numFmtId="10" fontId="58" fillId="0" borderId="24" xfId="0" applyNumberFormat="1" applyFont="1" applyBorder="1" applyAlignment="1" applyProtection="1">
      <alignment horizontal="center" vertical="top" wrapText="1"/>
    </xf>
    <xf numFmtId="0" fontId="43" fillId="0" borderId="22" xfId="0" applyFont="1" applyBorder="1" applyAlignment="1" applyProtection="1">
      <alignment wrapText="1"/>
    </xf>
    <xf numFmtId="0" fontId="43" fillId="37" borderId="0" xfId="0" applyFont="1" applyFill="1" applyBorder="1" applyAlignment="1" applyProtection="1">
      <alignment wrapText="1"/>
    </xf>
    <xf numFmtId="0" fontId="43" fillId="0" borderId="0" xfId="0" applyFont="1" applyBorder="1" applyAlignment="1" applyProtection="1">
      <alignment wrapText="1"/>
    </xf>
    <xf numFmtId="0" fontId="43" fillId="0" borderId="23" xfId="0" applyFont="1" applyBorder="1" applyAlignment="1" applyProtection="1">
      <alignment wrapText="1"/>
    </xf>
    <xf numFmtId="0" fontId="43" fillId="0" borderId="12" xfId="0" applyFont="1" applyBorder="1" applyProtection="1"/>
    <xf numFmtId="0" fontId="43" fillId="0" borderId="12" xfId="0" applyFont="1" applyBorder="1" applyAlignment="1" applyProtection="1">
      <alignment horizontal="center"/>
    </xf>
    <xf numFmtId="10" fontId="58" fillId="0" borderId="12" xfId="0" applyNumberFormat="1" applyFont="1" applyBorder="1" applyAlignment="1" applyProtection="1">
      <alignment horizontal="center" vertical="top" wrapText="1"/>
    </xf>
    <xf numFmtId="0" fontId="58" fillId="0" borderId="12" xfId="0" applyFont="1" applyBorder="1" applyAlignment="1" applyProtection="1">
      <alignment vertical="top" wrapText="1"/>
    </xf>
    <xf numFmtId="0" fontId="58" fillId="0" borderId="42" xfId="0" applyFont="1" applyBorder="1" applyAlignment="1" applyProtection="1">
      <alignment horizontal="center" vertical="top" wrapText="1"/>
    </xf>
    <xf numFmtId="0" fontId="58" fillId="0" borderId="24" xfId="0" applyFont="1" applyBorder="1" applyAlignment="1" applyProtection="1">
      <alignment horizontal="center" vertical="top" wrapText="1"/>
    </xf>
  </cellXfs>
  <cellStyles count="120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Ênfase1 2" xfId="18"/>
    <cellStyle name="20% - Ênfase2 2" xfId="19"/>
    <cellStyle name="20% - Ênfase3 2" xfId="20"/>
    <cellStyle name="20% - Ênfase4 2" xfId="21"/>
    <cellStyle name="20% - Ênfase5 2" xfId="22"/>
    <cellStyle name="20% - Ênfase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Ênfase1 2" xfId="30"/>
    <cellStyle name="40% - Ênfase2 2" xfId="31"/>
    <cellStyle name="40% - Ênfase3 2" xfId="32"/>
    <cellStyle name="40% - Ênfase4 2" xfId="33"/>
    <cellStyle name="40% - Ênfase5 2" xfId="34"/>
    <cellStyle name="40% - Ênfase6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Ênfase1 2" xfId="42"/>
    <cellStyle name="60% - Ênfase2 2" xfId="43"/>
    <cellStyle name="60% - Ênfase3 2" xfId="44"/>
    <cellStyle name="60% - Ênfase4 2" xfId="45"/>
    <cellStyle name="60% - Ênfase5 2" xfId="46"/>
    <cellStyle name="60% - Ênfase6 2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Bad" xfId="54"/>
    <cellStyle name="Bom 2" xfId="55"/>
    <cellStyle name="Calculation" xfId="56"/>
    <cellStyle name="Calculation 2" xfId="108"/>
    <cellStyle name="Cálculo 2" xfId="57"/>
    <cellStyle name="Cálculo 2 2" xfId="109"/>
    <cellStyle name="Célula de Verificação 2" xfId="58"/>
    <cellStyle name="Célula Vinculada 2" xfId="59"/>
    <cellStyle name="Check Cell" xfId="60"/>
    <cellStyle name="Ênfase1 2" xfId="61"/>
    <cellStyle name="Ênfase2 2" xfId="62"/>
    <cellStyle name="Ênfase3 2" xfId="63"/>
    <cellStyle name="Ênfase4 2" xfId="64"/>
    <cellStyle name="Ênfase5 2" xfId="65"/>
    <cellStyle name="Ênfase6 2" xfId="66"/>
    <cellStyle name="Entrada 2" xfId="67"/>
    <cellStyle name="Entrada 2 2" xfId="110"/>
    <cellStyle name="Excel Built-in Comma" xfId="1"/>
    <cellStyle name="Excel Built-in Normal" xfId="2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Incorreto 2" xfId="74"/>
    <cellStyle name="Input" xfId="75"/>
    <cellStyle name="Input 2" xfId="111"/>
    <cellStyle name="Linked Cell" xfId="76"/>
    <cellStyle name="Neutra 2" xfId="77"/>
    <cellStyle name="Neutral" xfId="78"/>
    <cellStyle name="Normal" xfId="0" builtinId="0"/>
    <cellStyle name="Normal 2" xfId="3"/>
    <cellStyle name="Normal 3" xfId="11"/>
    <cellStyle name="Normal 4" xfId="94"/>
    <cellStyle name="Normal 5" xfId="96"/>
    <cellStyle name="Normal 6" xfId="7"/>
    <cellStyle name="Normal 7" xfId="98"/>
    <cellStyle name="Normal 8" xfId="101"/>
    <cellStyle name="Normal 9" xfId="105"/>
    <cellStyle name="Normal_Pesquisa no referencial 10 de maio de 2013" xfId="4"/>
    <cellStyle name="Normal_Pesquisa no referencial 10 de maio de 2013 2" xfId="104"/>
    <cellStyle name="Nota 2" xfId="79"/>
    <cellStyle name="Nota 2 2" xfId="112"/>
    <cellStyle name="Nota 3" xfId="93"/>
    <cellStyle name="Nota 3 2" xfId="117"/>
    <cellStyle name="Nota 4" xfId="95"/>
    <cellStyle name="Nota 4 2" xfId="118"/>
    <cellStyle name="Nota 5" xfId="97"/>
    <cellStyle name="Nota 5 2" xfId="119"/>
    <cellStyle name="Note" xfId="80"/>
    <cellStyle name="Note 2" xfId="113"/>
    <cellStyle name="Output" xfId="81"/>
    <cellStyle name="Output 2" xfId="114"/>
    <cellStyle name="Porcentagem" xfId="5" builtinId="5"/>
    <cellStyle name="Porcentagem 2" xfId="9"/>
    <cellStyle name="Porcentagem 3" xfId="100"/>
    <cellStyle name="Porcentagem 4" xfId="103"/>
    <cellStyle name="Porcentagem 5" xfId="107"/>
    <cellStyle name="Saída 2" xfId="82"/>
    <cellStyle name="Saída 2 2" xfId="115"/>
    <cellStyle name="Separador de milhares 5" xfId="10"/>
    <cellStyle name="Texto de Aviso 2" xfId="83"/>
    <cellStyle name="Texto Explicativo 2" xfId="84"/>
    <cellStyle name="Title" xfId="85"/>
    <cellStyle name="Título 1 2" xfId="87"/>
    <cellStyle name="Título 2 2" xfId="88"/>
    <cellStyle name="Título 3 2" xfId="89"/>
    <cellStyle name="Título 4 2" xfId="90"/>
    <cellStyle name="Título 5" xfId="86"/>
    <cellStyle name="Total 2" xfId="91"/>
    <cellStyle name="Total 2 2" xfId="116"/>
    <cellStyle name="Vírgula" xfId="6" builtinId="3"/>
    <cellStyle name="Vírgula 2" xfId="8"/>
    <cellStyle name="Vírgula 3" xfId="99"/>
    <cellStyle name="Vírgula 4" xfId="102"/>
    <cellStyle name="Vírgula 5" xfId="106"/>
    <cellStyle name="Warning Text" xfId="92"/>
  </cellStyles>
  <dxfs count="484"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0"/>
      </font>
      <fill>
        <patternFill>
          <bgColor indexed="5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57"/>
      </font>
      <fill>
        <patternFill patternType="solid">
          <bgColor indexed="26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79</xdr:col>
          <xdr:colOff>0</xdr:colOff>
          <xdr:row>239</xdr:row>
          <xdr:rowOff>0</xdr:rowOff>
        </xdr:from>
        <xdr:to>
          <xdr:col>79</xdr:col>
          <xdr:colOff>0</xdr:colOff>
          <xdr:row>240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41</xdr:row>
          <xdr:rowOff>0</xdr:rowOff>
        </xdr:from>
        <xdr:to>
          <xdr:col>5</xdr:col>
          <xdr:colOff>714375</xdr:colOff>
          <xdr:row>44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KP/PREFEITURAS%20MUNIC_DO%20ESTADO%20DE%20MT/Prefeitura%20Municipal%20de%20Rondon&#243;polis/Obras%20El&#233;trica%202017/OR&#199;AMENTOS%20REVISADOS/REV_CX_25-10-17/PLANILHA_IP_ORNAMENTAL_102017_RE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"/>
      <sheetName val="PLANILHA ORÇAMENTÁRIA"/>
      <sheetName val="COMPOSIÇÃO"/>
      <sheetName val="LOCAÇÃO POSTES"/>
      <sheetName val="BDI"/>
      <sheetName val="COTAÇÕES"/>
    </sheetNames>
    <sheetDataSet>
      <sheetData sheetId="0"/>
      <sheetData sheetId="1"/>
      <sheetData sheetId="2">
        <row r="2">
          <cell r="A2" t="str">
            <v>OBRA: IMPLANTAÇÃO DO SISTEMA DE ILUMINAÇÃO PÚBLICA DO TIPO ORNAMENTAL COM LUMINÁRIAS LED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70" zoomScaleNormal="70" workbookViewId="0">
      <selection activeCell="M15" sqref="M15"/>
    </sheetView>
  </sheetViews>
  <sheetFormatPr defaultColWidth="9.140625" defaultRowHeight="15"/>
  <cols>
    <col min="1" max="1" width="7.42578125" style="130" customWidth="1"/>
    <col min="2" max="2" width="35.85546875" style="130" customWidth="1"/>
    <col min="3" max="3" width="9" style="130" bestFit="1" customWidth="1"/>
    <col min="4" max="4" width="14.28515625" style="130" bestFit="1" customWidth="1"/>
    <col min="5" max="5" width="13.85546875" style="130" bestFit="1" customWidth="1"/>
    <col min="6" max="6" width="14.5703125" style="130" bestFit="1" customWidth="1"/>
    <col min="7" max="7" width="17" style="130" customWidth="1"/>
    <col min="8" max="8" width="13.140625" style="130" hidden="1" customWidth="1"/>
    <col min="9" max="10" width="11.7109375" style="130" bestFit="1" customWidth="1"/>
    <col min="11" max="16384" width="9.140625" style="130"/>
  </cols>
  <sheetData>
    <row r="1" spans="1:8" ht="37.5" customHeight="1">
      <c r="A1" s="248" t="s">
        <v>91</v>
      </c>
      <c r="B1" s="249"/>
      <c r="C1" s="249"/>
      <c r="D1" s="249"/>
      <c r="E1" s="249"/>
      <c r="F1" s="249"/>
      <c r="G1" s="279"/>
    </row>
    <row r="2" spans="1:8" ht="15" customHeight="1">
      <c r="A2" s="12" t="s">
        <v>263</v>
      </c>
      <c r="B2" s="131"/>
      <c r="C2" s="131"/>
      <c r="D2" s="131"/>
      <c r="E2" s="131"/>
      <c r="F2" s="131"/>
      <c r="G2" s="132"/>
    </row>
    <row r="3" spans="1:8" ht="15" customHeight="1">
      <c r="A3" s="23" t="s">
        <v>181</v>
      </c>
      <c r="B3" s="131"/>
      <c r="C3" s="131"/>
      <c r="D3" s="131"/>
      <c r="E3" s="131"/>
      <c r="F3" s="131"/>
      <c r="G3" s="132"/>
    </row>
    <row r="4" spans="1:8" ht="8.1" customHeight="1">
      <c r="A4" s="133"/>
      <c r="B4" s="134"/>
      <c r="C4" s="134"/>
      <c r="D4" s="134"/>
      <c r="E4" s="134"/>
      <c r="F4" s="134"/>
      <c r="G4" s="135"/>
    </row>
    <row r="5" spans="1:8" ht="15" customHeight="1">
      <c r="A5" s="246" t="s">
        <v>11</v>
      </c>
      <c r="B5" s="247"/>
      <c r="C5" s="247"/>
      <c r="D5" s="247"/>
      <c r="E5" s="247"/>
      <c r="F5" s="247"/>
      <c r="G5" s="291"/>
    </row>
    <row r="6" spans="1:8" ht="13.5" customHeight="1" thickBot="1">
      <c r="A6" s="128"/>
      <c r="B6" s="129"/>
      <c r="C6" s="129"/>
      <c r="D6" s="129"/>
      <c r="E6" s="129"/>
      <c r="F6" s="129"/>
      <c r="G6" s="136"/>
    </row>
    <row r="7" spans="1:8">
      <c r="A7" s="137" t="s">
        <v>4</v>
      </c>
      <c r="B7" s="137" t="s">
        <v>53</v>
      </c>
      <c r="C7" s="138" t="s">
        <v>36</v>
      </c>
      <c r="D7" s="138" t="s">
        <v>12</v>
      </c>
      <c r="E7" s="138" t="s">
        <v>13</v>
      </c>
      <c r="F7" s="138" t="s">
        <v>43</v>
      </c>
      <c r="G7" s="138" t="s">
        <v>3</v>
      </c>
    </row>
    <row r="8" spans="1:8" ht="8.1" customHeight="1">
      <c r="A8" s="139"/>
      <c r="B8" s="140"/>
      <c r="C8" s="141"/>
      <c r="D8" s="141"/>
      <c r="E8" s="141"/>
      <c r="F8" s="142"/>
      <c r="G8" s="143"/>
    </row>
    <row r="9" spans="1:8">
      <c r="A9" s="144">
        <v>1</v>
      </c>
      <c r="B9" s="145" t="str">
        <f>'PLANILHA ORÇAMENTÁRIA'!D10</f>
        <v>SERVIÇOS PRELIMINARES</v>
      </c>
      <c r="C9" s="146">
        <f>G9/$G$18</f>
        <v>4.2509151958497082E-2</v>
      </c>
      <c r="D9" s="147">
        <f>TRUNC(($G$9*D11),3)</f>
        <v>3472.9279999999999</v>
      </c>
      <c r="E9" s="147">
        <f>TRUNC(($G$9*E11),3)</f>
        <v>3038.8119999999999</v>
      </c>
      <c r="F9" s="147">
        <f>TRUNC(($G$9*F11),3)</f>
        <v>2170.58</v>
      </c>
      <c r="G9" s="148">
        <f>'PLANILHA ORÇAMENTÁRIA'!K15</f>
        <v>8682.32</v>
      </c>
      <c r="H9" s="149">
        <f>SUM(D9:F9)</f>
        <v>8682.32</v>
      </c>
    </row>
    <row r="10" spans="1:8" ht="8.1" customHeight="1">
      <c r="A10" s="150"/>
      <c r="B10" s="151"/>
      <c r="C10" s="152"/>
      <c r="D10" s="183"/>
      <c r="E10" s="183"/>
      <c r="F10" s="183"/>
      <c r="G10" s="153"/>
    </row>
    <row r="11" spans="1:8">
      <c r="A11" s="154"/>
      <c r="B11" s="155" t="s">
        <v>2</v>
      </c>
      <c r="C11" s="156"/>
      <c r="D11" s="157">
        <v>0.4</v>
      </c>
      <c r="E11" s="157">
        <v>0.35</v>
      </c>
      <c r="F11" s="157">
        <v>0.25</v>
      </c>
      <c r="G11" s="158"/>
      <c r="H11" s="159">
        <f>SUM(D11:F11)</f>
        <v>1</v>
      </c>
    </row>
    <row r="12" spans="1:8">
      <c r="A12" s="164"/>
      <c r="B12" s="165"/>
      <c r="C12" s="166"/>
      <c r="D12" s="195"/>
      <c r="E12" s="195"/>
      <c r="F12" s="195"/>
      <c r="G12" s="167"/>
      <c r="H12" s="159"/>
    </row>
    <row r="13" spans="1:8">
      <c r="A13" s="164"/>
      <c r="B13" s="165" t="str">
        <f>'PLANILHA ORÇAMENTÁRIA'!D17</f>
        <v>AVENIDA DOM SEBASTIÃO</v>
      </c>
      <c r="C13" s="166"/>
      <c r="D13" s="195"/>
      <c r="E13" s="195"/>
      <c r="F13" s="195"/>
      <c r="G13" s="167"/>
      <c r="H13" s="159"/>
    </row>
    <row r="14" spans="1:8">
      <c r="A14" s="144">
        <v>7</v>
      </c>
      <c r="B14" s="145" t="str">
        <f>'PLANILHA ORÇAMENTÁRIA'!D18</f>
        <v>SERVIÇOS ELÉTRICA</v>
      </c>
      <c r="C14" s="146">
        <f>G14/$G$18</f>
        <v>0.95749084804150286</v>
      </c>
      <c r="D14" s="147">
        <f>TRUNC(($G$14*D16),3)</f>
        <v>78225.432000000001</v>
      </c>
      <c r="E14" s="147">
        <f>TRUNC(($G$14*E16),3)</f>
        <v>68447.252999999997</v>
      </c>
      <c r="F14" s="147">
        <f>TRUNC(($G$14*F16),3)</f>
        <v>48890.894999999997</v>
      </c>
      <c r="G14" s="148">
        <f>'PLANILHA ORÇAMENTÁRIA'!K54</f>
        <v>195563.58000000002</v>
      </c>
      <c r="H14" s="149">
        <f>SUM(D14:F14)</f>
        <v>195563.58</v>
      </c>
    </row>
    <row r="15" spans="1:8" ht="7.9" customHeight="1">
      <c r="A15" s="150"/>
      <c r="B15" s="151"/>
      <c r="C15" s="152"/>
      <c r="D15" s="183"/>
      <c r="E15" s="183"/>
      <c r="F15" s="183"/>
      <c r="G15" s="153"/>
    </row>
    <row r="16" spans="1:8">
      <c r="A16" s="160"/>
      <c r="B16" s="161" t="s">
        <v>2</v>
      </c>
      <c r="C16" s="162"/>
      <c r="D16" s="157">
        <v>0.4</v>
      </c>
      <c r="E16" s="157">
        <v>0.35</v>
      </c>
      <c r="F16" s="157">
        <v>0.25</v>
      </c>
      <c r="G16" s="163"/>
      <c r="H16" s="159">
        <f>SUM(D16:F16)</f>
        <v>1</v>
      </c>
    </row>
    <row r="17" spans="1:7" ht="8.1" customHeight="1">
      <c r="A17" s="168"/>
      <c r="B17" s="169"/>
      <c r="C17" s="170"/>
      <c r="D17" s="171"/>
      <c r="E17" s="171"/>
      <c r="F17" s="172"/>
      <c r="G17" s="173"/>
    </row>
    <row r="18" spans="1:7">
      <c r="A18" s="178" t="s">
        <v>77</v>
      </c>
      <c r="B18" s="174"/>
      <c r="C18" s="175">
        <f>C9+C14</f>
        <v>1</v>
      </c>
      <c r="D18" s="176">
        <f>TRUNC((D9+D14),4)</f>
        <v>81698.36</v>
      </c>
      <c r="E18" s="176">
        <f t="shared" ref="E18:F18" si="0">TRUNC((E9+E14),4)</f>
        <v>71486.065000000002</v>
      </c>
      <c r="F18" s="176">
        <f t="shared" si="0"/>
        <v>51061.474999999999</v>
      </c>
      <c r="G18" s="177">
        <f>SUM(G9:G16)</f>
        <v>204245.90000000002</v>
      </c>
    </row>
    <row r="19" spans="1:7" ht="18.75" customHeight="1">
      <c r="A19" s="244" t="s">
        <v>14</v>
      </c>
      <c r="B19" s="245"/>
      <c r="C19" s="245"/>
      <c r="D19" s="179">
        <f>D18</f>
        <v>81698.36</v>
      </c>
      <c r="E19" s="179">
        <f>D19+E18</f>
        <v>153184.42499999999</v>
      </c>
      <c r="F19" s="179">
        <f>E19+F18</f>
        <v>204245.9</v>
      </c>
      <c r="G19" s="180"/>
    </row>
    <row r="20" spans="1:7" ht="17.25" customHeight="1">
      <c r="A20" s="244" t="s">
        <v>15</v>
      </c>
      <c r="B20" s="245"/>
      <c r="C20" s="245"/>
      <c r="D20" s="181">
        <f>D18/$G$18</f>
        <v>0.39999999999999997</v>
      </c>
      <c r="E20" s="181">
        <f>E18/$G$18</f>
        <v>0.35</v>
      </c>
      <c r="F20" s="181">
        <f>F18/$G$18</f>
        <v>0.24999999999999997</v>
      </c>
      <c r="G20" s="180"/>
    </row>
    <row r="21" spans="1:7" ht="16.5" customHeight="1">
      <c r="A21" s="242" t="s">
        <v>16</v>
      </c>
      <c r="B21" s="243"/>
      <c r="C21" s="243"/>
      <c r="D21" s="157">
        <f>D20</f>
        <v>0.39999999999999997</v>
      </c>
      <c r="E21" s="157">
        <f>D21+E20</f>
        <v>0.75</v>
      </c>
      <c r="F21" s="157">
        <f t="shared" ref="F21" si="1">E21+F20</f>
        <v>1</v>
      </c>
      <c r="G21" s="182"/>
    </row>
  </sheetData>
  <mergeCells count="5">
    <mergeCell ref="A21:C21"/>
    <mergeCell ref="A19:C19"/>
    <mergeCell ref="A20:C20"/>
    <mergeCell ref="A1:G1"/>
    <mergeCell ref="A5:G5"/>
  </mergeCells>
  <printOptions horizontalCentered="1" gridLines="1"/>
  <pageMargins left="0.98425196850393704" right="0.78740157480314965" top="1.7716535433070868" bottom="0.78740157480314965" header="0.31496062992125984" footer="0.31496062992125984"/>
  <pageSetup paperSize="9" scale="75" orientation="portrait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view="pageBreakPreview" topLeftCell="A40" zoomScale="85" zoomScaleNormal="100" zoomScaleSheetLayoutView="85" workbookViewId="0">
      <selection activeCell="G70" sqref="G70"/>
    </sheetView>
  </sheetViews>
  <sheetFormatPr defaultColWidth="11.42578125" defaultRowHeight="12.75"/>
  <cols>
    <col min="1" max="1" width="7.85546875" style="119" customWidth="1"/>
    <col min="2" max="2" width="7.28515625" style="119" customWidth="1"/>
    <col min="3" max="3" width="13.42578125" style="119" customWidth="1"/>
    <col min="4" max="4" width="78.7109375" style="76" customWidth="1"/>
    <col min="5" max="5" width="5.42578125" style="119" customWidth="1"/>
    <col min="6" max="6" width="9" style="126" customWidth="1"/>
    <col min="7" max="7" width="9.28515625" style="127" customWidth="1"/>
    <col min="8" max="8" width="9.42578125" style="127" bestFit="1" customWidth="1"/>
    <col min="9" max="10" width="9.28515625" style="127" customWidth="1"/>
    <col min="11" max="11" width="13.7109375" style="127" customWidth="1"/>
    <col min="12" max="12" width="14.7109375" style="76" hidden="1" customWidth="1"/>
    <col min="13" max="13" width="16.42578125" style="76" hidden="1" customWidth="1"/>
    <col min="14" max="14" width="0.28515625" style="76" customWidth="1"/>
    <col min="15" max="15" width="11.5703125" style="76" bestFit="1" customWidth="1"/>
    <col min="16" max="16384" width="11.42578125" style="76"/>
  </cols>
  <sheetData>
    <row r="1" spans="1:14">
      <c r="A1" s="76"/>
      <c r="B1" s="250"/>
      <c r="C1" s="250"/>
      <c r="D1" s="250"/>
      <c r="E1" s="250"/>
      <c r="F1" s="250"/>
      <c r="G1" s="250"/>
      <c r="H1" s="250"/>
      <c r="I1" s="251"/>
      <c r="J1" s="251"/>
      <c r="K1" s="252"/>
    </row>
    <row r="2" spans="1:14">
      <c r="A2" s="12" t="s">
        <v>91</v>
      </c>
      <c r="B2" s="12"/>
      <c r="C2" s="1"/>
      <c r="D2" s="1"/>
      <c r="E2" s="1"/>
      <c r="F2" s="1"/>
      <c r="G2" s="1"/>
      <c r="H2" s="1"/>
      <c r="I2" s="1"/>
      <c r="J2" s="1"/>
      <c r="K2" s="2"/>
    </row>
    <row r="3" spans="1:14">
      <c r="A3" s="12" t="s">
        <v>218</v>
      </c>
      <c r="B3" s="12"/>
      <c r="C3" s="1"/>
      <c r="D3" s="1"/>
      <c r="E3" s="1"/>
      <c r="F3" s="1"/>
      <c r="G3" s="1"/>
      <c r="H3" s="1"/>
      <c r="I3" s="1"/>
      <c r="J3" s="1"/>
      <c r="K3" s="2"/>
    </row>
    <row r="4" spans="1:14">
      <c r="A4" s="23" t="s">
        <v>181</v>
      </c>
      <c r="B4" s="23"/>
      <c r="C4" s="1"/>
      <c r="D4" s="1"/>
      <c r="E4" s="1"/>
      <c r="F4" s="1"/>
      <c r="G4" s="1"/>
      <c r="H4" s="1"/>
      <c r="I4" s="1"/>
      <c r="J4" s="1"/>
      <c r="K4" s="2"/>
    </row>
    <row r="5" spans="1:14">
      <c r="A5" s="77"/>
      <c r="B5" s="77"/>
      <c r="C5" s="77"/>
      <c r="D5" s="77"/>
      <c r="E5" s="77"/>
      <c r="F5" s="78"/>
      <c r="G5" s="79"/>
      <c r="H5" s="79"/>
      <c r="I5" s="79"/>
      <c r="J5" s="79"/>
      <c r="K5" s="80"/>
    </row>
    <row r="6" spans="1:14" ht="15.75">
      <c r="A6" s="81"/>
      <c r="B6" s="81"/>
      <c r="C6" s="81"/>
      <c r="D6" s="82" t="s">
        <v>75</v>
      </c>
      <c r="E6" s="81"/>
      <c r="F6" s="83"/>
      <c r="G6" s="84"/>
      <c r="H6" s="84"/>
      <c r="I6" s="84"/>
      <c r="J6" s="84"/>
      <c r="K6" s="241">
        <f>BDI!E46</f>
        <v>0.249</v>
      </c>
    </row>
    <row r="7" spans="1:14">
      <c r="A7" s="76"/>
      <c r="B7" s="256"/>
      <c r="C7" s="256"/>
      <c r="D7" s="256"/>
      <c r="E7" s="256"/>
      <c r="F7" s="257"/>
      <c r="G7" s="253" t="s">
        <v>89</v>
      </c>
      <c r="H7" s="254"/>
      <c r="I7" s="255"/>
      <c r="J7" s="212"/>
      <c r="K7" s="85" t="s">
        <v>72</v>
      </c>
    </row>
    <row r="8" spans="1:14" ht="25.5">
      <c r="A8" s="85" t="s">
        <v>4</v>
      </c>
      <c r="B8" s="86" t="s">
        <v>104</v>
      </c>
      <c r="C8" s="86" t="s">
        <v>5</v>
      </c>
      <c r="D8" s="38" t="s">
        <v>46</v>
      </c>
      <c r="E8" s="85" t="s">
        <v>0</v>
      </c>
      <c r="F8" s="87" t="s">
        <v>6</v>
      </c>
      <c r="G8" s="88" t="s">
        <v>30</v>
      </c>
      <c r="H8" s="86" t="s">
        <v>31</v>
      </c>
      <c r="I8" s="86" t="s">
        <v>101</v>
      </c>
      <c r="J8" s="86" t="s">
        <v>102</v>
      </c>
      <c r="K8" s="89" t="s">
        <v>105</v>
      </c>
    </row>
    <row r="9" spans="1:14">
      <c r="A9" s="198"/>
      <c r="B9" s="198"/>
      <c r="C9" s="198"/>
      <c r="D9" s="199"/>
      <c r="E9" s="200"/>
      <c r="F9" s="201"/>
      <c r="G9" s="202"/>
      <c r="H9" s="203"/>
      <c r="I9" s="203"/>
      <c r="J9" s="203"/>
      <c r="K9" s="204"/>
    </row>
    <row r="10" spans="1:14">
      <c r="A10" s="90">
        <v>1</v>
      </c>
      <c r="B10" s="90" t="s">
        <v>99</v>
      </c>
      <c r="C10" s="91"/>
      <c r="D10" s="92" t="s">
        <v>8</v>
      </c>
      <c r="E10" s="90"/>
      <c r="F10" s="93"/>
      <c r="G10" s="94"/>
      <c r="H10" s="94"/>
      <c r="I10" s="94"/>
      <c r="J10" s="94"/>
      <c r="K10" s="95"/>
    </row>
    <row r="11" spans="1:14" s="102" customFormat="1">
      <c r="A11" s="96" t="s">
        <v>9</v>
      </c>
      <c r="B11" s="96">
        <v>1</v>
      </c>
      <c r="C11" s="97" t="str">
        <f>VLOOKUP($B11,COMPOSIÇÃO!$A$10:$K$58,3,FALSE)</f>
        <v>COTAÇÃO</v>
      </c>
      <c r="D11" s="98" t="str">
        <f>VLOOKUP($B11,COMPOSIÇÃO!$A$10:$K$58,4,FALSE)</f>
        <v>ART - ANOTAÇÃO DE RESPONSABILIDADE TÉCNICA</v>
      </c>
      <c r="E11" s="96" t="str">
        <f>VLOOKUP($B11,COMPOSIÇÃO!$A$10:$K$58,5,FALSE)</f>
        <v>UN</v>
      </c>
      <c r="F11" s="99">
        <v>1</v>
      </c>
      <c r="G11" s="100">
        <f>VLOOKUP($B11,COMPOSIÇÃO!$A$10:$K$58,9,FALSE)</f>
        <v>0</v>
      </c>
      <c r="H11" s="100">
        <f>VLOOKUP($B11,COMPOSIÇÃO!$A$10:$K$58,10,FALSE)</f>
        <v>218.54</v>
      </c>
      <c r="I11" s="100">
        <f>TRUNC((H11+G11),2)</f>
        <v>218.54</v>
      </c>
      <c r="J11" s="100">
        <f>I11*$K$6+I11</f>
        <v>272.95645999999999</v>
      </c>
      <c r="K11" s="101">
        <f>TRUNC((J11)*F11,2)</f>
        <v>272.95</v>
      </c>
    </row>
    <row r="12" spans="1:14" s="102" customFormat="1">
      <c r="A12" s="96" t="s">
        <v>97</v>
      </c>
      <c r="B12" s="96">
        <v>2</v>
      </c>
      <c r="C12" s="97" t="str">
        <f>VLOOKUP($B12,COMPOSIÇÃO!$A$10:$K$58,3,FALSE)</f>
        <v>COMPOSIÇÃO</v>
      </c>
      <c r="D12" s="98" t="str">
        <f>VLOOKUP($B12,COMPOSIÇÃO!$A$10:$K$58,4,FALSE)</f>
        <v>MOBILIZACAO E DESMOBILIZAÇÃO DE 01 EQUIPAMENTO CAMINHÃO MUNCK COM CESTO AÉREO, DISTANCIA DE 10KM ATE 20KM</v>
      </c>
      <c r="E12" s="96" t="str">
        <f>VLOOKUP($B12,COMPOSIÇÃO!$A$10:$K$58,5,FALSE)</f>
        <v>UN</v>
      </c>
      <c r="F12" s="99">
        <v>6</v>
      </c>
      <c r="G12" s="100">
        <f>VLOOKUP($B12,COMPOSIÇÃO!$A$10:$K$58,9,FALSE)</f>
        <v>137.91</v>
      </c>
      <c r="H12" s="100">
        <f>VLOOKUP($B12,COMPOSIÇÃO!$A$10:$K$58,10,FALSE)</f>
        <v>15.51</v>
      </c>
      <c r="I12" s="100">
        <f t="shared" ref="I12" si="0">TRUNC((H12+G12),2)</f>
        <v>153.41999999999999</v>
      </c>
      <c r="J12" s="100">
        <f t="shared" ref="J12:J14" si="1">I12*$K$6+I12</f>
        <v>191.62157999999999</v>
      </c>
      <c r="K12" s="101">
        <f t="shared" ref="K12:K14" si="2">TRUNC((J12)*F12,2)</f>
        <v>1149.72</v>
      </c>
    </row>
    <row r="13" spans="1:14" s="102" customFormat="1">
      <c r="A13" s="96" t="s">
        <v>71</v>
      </c>
      <c r="B13" s="96">
        <v>3</v>
      </c>
      <c r="C13" s="97" t="str">
        <f>VLOOKUP($B13,COMPOSIÇÃO!$A$10:$K$58,3,FALSE)</f>
        <v>74209/001</v>
      </c>
      <c r="D13" s="98" t="str">
        <f>VLOOKUP($B13,COMPOSIÇÃO!$A$10:$K$58,4,FALSE)</f>
        <v>PLACA DE OBRA EM CHAPA DE ACO GALVANIZADO</v>
      </c>
      <c r="E13" s="96" t="str">
        <f>VLOOKUP($B13,COMPOSIÇÃO!$A$10:$K$58,5,FALSE)</f>
        <v>M2</v>
      </c>
      <c r="F13" s="99">
        <v>6</v>
      </c>
      <c r="G13" s="100">
        <f>VLOOKUP($B13,COMPOSIÇÃO!$A$10:$K$58,9,FALSE)</f>
        <v>523.6</v>
      </c>
      <c r="H13" s="100">
        <f>VLOOKUP($B13,COMPOSIÇÃO!$A$10:$K$58,10,FALSE)</f>
        <v>50.6</v>
      </c>
      <c r="I13" s="100">
        <f t="shared" ref="I13" si="3">TRUNC((H13+G13),2)</f>
        <v>574.20000000000005</v>
      </c>
      <c r="J13" s="100">
        <f t="shared" si="1"/>
        <v>717.17580000000009</v>
      </c>
      <c r="K13" s="101">
        <f t="shared" si="2"/>
        <v>4303.05</v>
      </c>
    </row>
    <row r="14" spans="1:14" s="102" customFormat="1" ht="38.25">
      <c r="A14" s="96" t="s">
        <v>98</v>
      </c>
      <c r="B14" s="96">
        <v>4</v>
      </c>
      <c r="C14" s="97" t="str">
        <f>VLOOKUP($B14,COMPOSIÇÃO!$A$10:$K$58,3,FALSE)</f>
        <v>73847/001</v>
      </c>
      <c r="D14" s="98" t="str">
        <f>VLOOKUP($B14,COMPOSIÇÃO!$A$10:$K$58,4,FALSE)</f>
        <v>ALUGUEL CONTAINER/ESCRIT INCL INST ELET LARG=2,20 COMP=6,20MALT=2,50M CHAPA ACO C/NERV TRAPEZ FORRO C/ISOL TERMO/ACUSTICO CHASSIS REFORC PISO COMPENS NAVAL EXC TRANSP/CARGA/DESCARGA</v>
      </c>
      <c r="E14" s="96" t="str">
        <f>VLOOKUP($B14,COMPOSIÇÃO!$A$10:$K$58,5,FALSE)</f>
        <v>MÊS</v>
      </c>
      <c r="F14" s="99">
        <v>6</v>
      </c>
      <c r="G14" s="100">
        <f>VLOOKUP($B14,COMPOSIÇÃO!$A$10:$K$58,9,FALSE)</f>
        <v>394.53</v>
      </c>
      <c r="H14" s="100">
        <f>VLOOKUP($B14,COMPOSIÇÃO!$A$10:$K$58,10,FALSE)</f>
        <v>0</v>
      </c>
      <c r="I14" s="100">
        <f t="shared" ref="I14" si="4">TRUNC((H14+G14),2)</f>
        <v>394.53</v>
      </c>
      <c r="J14" s="100">
        <f t="shared" si="1"/>
        <v>492.76796999999999</v>
      </c>
      <c r="K14" s="101">
        <f t="shared" si="2"/>
        <v>2956.6</v>
      </c>
    </row>
    <row r="15" spans="1:14">
      <c r="A15" s="103"/>
      <c r="B15" s="103"/>
      <c r="C15" s="103"/>
      <c r="D15" s="104" t="s">
        <v>76</v>
      </c>
      <c r="E15" s="105"/>
      <c r="F15" s="106"/>
      <c r="G15" s="107"/>
      <c r="H15" s="107"/>
      <c r="I15" s="107"/>
      <c r="J15" s="107"/>
      <c r="K15" s="111">
        <f>TRUNC(SUM(K11:K14),2)</f>
        <v>8682.32</v>
      </c>
      <c r="L15" s="108">
        <f>K15*1.2491</f>
        <v>10845.085912</v>
      </c>
      <c r="M15" s="109">
        <f>L15*0.7509</f>
        <v>8143.5750113208005</v>
      </c>
      <c r="N15" s="110">
        <f>TRUNC((K15*1.2491),2)</f>
        <v>10845.08</v>
      </c>
    </row>
    <row r="16" spans="1:14">
      <c r="A16" s="103"/>
      <c r="B16" s="103"/>
      <c r="C16" s="103"/>
      <c r="D16" s="104"/>
      <c r="E16" s="105"/>
      <c r="F16" s="106"/>
      <c r="G16" s="107"/>
      <c r="H16" s="107"/>
      <c r="I16" s="107"/>
      <c r="J16" s="107"/>
      <c r="K16" s="111"/>
      <c r="L16" s="108"/>
      <c r="M16" s="109"/>
      <c r="N16" s="110"/>
    </row>
    <row r="17" spans="1:15" s="112" customFormat="1">
      <c r="A17" s="205"/>
      <c r="B17" s="205"/>
      <c r="C17" s="205"/>
      <c r="D17" s="206" t="s">
        <v>175</v>
      </c>
      <c r="E17" s="207"/>
      <c r="F17" s="208"/>
      <c r="G17" s="209"/>
      <c r="H17" s="209"/>
      <c r="I17" s="209"/>
      <c r="J17" s="209"/>
      <c r="K17" s="210"/>
      <c r="L17" s="108"/>
    </row>
    <row r="18" spans="1:15" s="112" customFormat="1">
      <c r="A18" s="90">
        <v>2</v>
      </c>
      <c r="B18" s="90" t="s">
        <v>99</v>
      </c>
      <c r="C18" s="113"/>
      <c r="D18" s="114" t="s">
        <v>100</v>
      </c>
      <c r="E18" s="113"/>
      <c r="F18" s="115"/>
      <c r="G18" s="116"/>
      <c r="H18" s="116"/>
      <c r="I18" s="116"/>
      <c r="J18" s="116"/>
      <c r="K18" s="117"/>
      <c r="L18" s="108"/>
    </row>
    <row r="19" spans="1:15" s="112" customFormat="1">
      <c r="A19" s="90" t="s">
        <v>29</v>
      </c>
      <c r="B19" s="90"/>
      <c r="C19" s="113"/>
      <c r="D19" s="114" t="s">
        <v>176</v>
      </c>
      <c r="E19" s="113"/>
      <c r="F19" s="115"/>
      <c r="G19" s="116"/>
      <c r="H19" s="116"/>
      <c r="I19" s="116"/>
      <c r="J19" s="116"/>
      <c r="K19" s="117"/>
      <c r="L19" s="108"/>
    </row>
    <row r="20" spans="1:15" s="112" customFormat="1" ht="38.25">
      <c r="A20" s="96" t="s">
        <v>185</v>
      </c>
      <c r="B20" s="96">
        <v>5</v>
      </c>
      <c r="C20" s="97" t="str">
        <f>VLOOKUP($B20,COMPOSIÇÃO!$A$10:$K$58,3,FALSE)</f>
        <v xml:space="preserve">COMPOSIÇÃO </v>
      </c>
      <c r="D20" s="211" t="str">
        <f>VLOOKUP($B20,COMPOSIÇÃO!$A$10:$K$58,4,FALSE)</f>
        <v>REMOÇÃO DE LUMINÁRIAS E ACESSÓRIOS EM BRAÇOS DE 3 METROS DA REDE DE ILUMINAÇÃO PÚBLICA, COM UTILIZAÇÃO DE EQUIPAMENTO MUNCK COM CESTO AÉREO.</v>
      </c>
      <c r="E20" s="96" t="str">
        <f>VLOOKUP($B20,COMPOSIÇÃO!$A$10:$K$58,5,FALSE)</f>
        <v>H</v>
      </c>
      <c r="F20" s="99">
        <v>15.5</v>
      </c>
      <c r="G20" s="100">
        <f>VLOOKUP($B20,COMPOSIÇÃO!$A$10:$K$58,9,FALSE)</f>
        <v>123.59</v>
      </c>
      <c r="H20" s="100">
        <f>VLOOKUP($B20,COMPOSIÇÃO!$A$10:$K$58,10,FALSE)</f>
        <v>35.800000000000004</v>
      </c>
      <c r="I20" s="100">
        <f t="shared" ref="I20" si="5">H20+G20</f>
        <v>159.39000000000001</v>
      </c>
      <c r="J20" s="100">
        <f t="shared" ref="J20" si="6">I20*$K$6+I20</f>
        <v>199.07811000000001</v>
      </c>
      <c r="K20" s="101">
        <f t="shared" ref="K20" si="7">TRUNC((J20)*F20,2)</f>
        <v>3085.71</v>
      </c>
      <c r="L20" s="108"/>
    </row>
    <row r="21" spans="1:15" s="112" customFormat="1" ht="25.5">
      <c r="A21" s="96" t="s">
        <v>186</v>
      </c>
      <c r="B21" s="96">
        <v>6</v>
      </c>
      <c r="C21" s="97">
        <f>VLOOKUP($B21,COMPOSIÇÃO!$A$10:$K$58,3,FALSE)</f>
        <v>91926</v>
      </c>
      <c r="D21" s="211" t="str">
        <f>VLOOKUP($B21,COMPOSIÇÃO!$A$10:$K$58,4,FALSE)</f>
        <v>CABO DE COBRE FLEXÍVEL ISOLADO, 2,5 MM², ANTI-CHAMA 450/750 V, PARA CIRCUITOS TERMINAIS - FORNECIMENTO E INSTALAÇÃO. AF_12/2015.</v>
      </c>
      <c r="E21" s="96" t="str">
        <f>VLOOKUP($B21,COMPOSIÇÃO!$A$10:$K$58,5,FALSE)</f>
        <v>M</v>
      </c>
      <c r="F21" s="99">
        <v>50</v>
      </c>
      <c r="G21" s="100">
        <f>VLOOKUP($B21,COMPOSIÇÃO!$A$10:$K$58,9,FALSE)</f>
        <v>1.46</v>
      </c>
      <c r="H21" s="100">
        <f>VLOOKUP($B21,COMPOSIÇÃO!$A$10:$K$58,10,FALSE)</f>
        <v>1.06</v>
      </c>
      <c r="I21" s="100">
        <f t="shared" ref="I21:I24" si="8">H21+G21</f>
        <v>2.52</v>
      </c>
      <c r="J21" s="100">
        <f t="shared" ref="J21:J24" si="9">I21*$K$6+I21</f>
        <v>3.1474799999999998</v>
      </c>
      <c r="K21" s="101">
        <f t="shared" ref="K21:K24" si="10">TRUNC((J21)*F21,2)</f>
        <v>157.37</v>
      </c>
      <c r="L21" s="108"/>
    </row>
    <row r="22" spans="1:15" s="112" customFormat="1" ht="51">
      <c r="A22" s="96" t="s">
        <v>187</v>
      </c>
      <c r="B22" s="96">
        <v>8</v>
      </c>
      <c r="C22" s="97" t="str">
        <f>VLOOKUP($B22,COMPOSIÇÃO!$A$10:$K$58,3,FALSE)</f>
        <v>COMPOSIÇÃO</v>
      </c>
      <c r="D22" s="211" t="str">
        <f>VLOOKUP($B22,COMPOSIÇÃO!$A$10:$K$58,4,FALSE)</f>
        <v>LUMINÁRIA EM LED PARA ILUMINAÇÃO PÚBLICA, 100W, LED AC, LENTES POLICARBONATO,CORPO EM ALUMÍNIO INJ, 220V, FP0,97, PROT. DPS 10KV, IP65, IK10, TEMP. COR 5700K, IRC= OU 70%, V. ÚTIL 50.000H, 110LM/W, LM79, GAR.5 ANOS, MODELO GL316 G-LIGHT OU SIMILAR - FORNECIMENTO E INSTALAÇÃO.</v>
      </c>
      <c r="E22" s="96" t="str">
        <f>VLOOKUP($B22,COMPOSIÇÃO!$A$10:$K$58,5,FALSE)</f>
        <v>UN</v>
      </c>
      <c r="F22" s="99">
        <v>6</v>
      </c>
      <c r="G22" s="100">
        <f>VLOOKUP($B22,COMPOSIÇÃO!$A$10:$K$58,9,FALSE)</f>
        <v>1050</v>
      </c>
      <c r="H22" s="100">
        <f>VLOOKUP($B22,COMPOSIÇÃO!$A$10:$K$58,10,FALSE)</f>
        <v>35.800000000000004</v>
      </c>
      <c r="I22" s="100">
        <f t="shared" ref="I22" si="11">H22+G22</f>
        <v>1085.8</v>
      </c>
      <c r="J22" s="100">
        <f t="shared" ref="J22" si="12">I22*$K$6+I22</f>
        <v>1356.1641999999999</v>
      </c>
      <c r="K22" s="101">
        <f t="shared" ref="K22" si="13">TRUNC((J22)*F22,2)</f>
        <v>8136.98</v>
      </c>
      <c r="L22" s="108"/>
    </row>
    <row r="23" spans="1:15" s="112" customFormat="1">
      <c r="A23" s="90" t="s">
        <v>33</v>
      </c>
      <c r="B23" s="90"/>
      <c r="C23" s="113"/>
      <c r="D23" s="114" t="s">
        <v>177</v>
      </c>
      <c r="E23" s="113"/>
      <c r="F23" s="115"/>
      <c r="G23" s="116"/>
      <c r="H23" s="116"/>
      <c r="I23" s="116"/>
      <c r="J23" s="116"/>
      <c r="K23" s="117"/>
      <c r="L23" s="108"/>
    </row>
    <row r="24" spans="1:15" s="112" customFormat="1" ht="25.5">
      <c r="A24" s="96" t="s">
        <v>188</v>
      </c>
      <c r="B24" s="96">
        <v>10</v>
      </c>
      <c r="C24" s="97" t="str">
        <f>VLOOKUP($B24,COMPOSIÇÃO!$A$10:$K$433,3,FALSE)</f>
        <v>93358</v>
      </c>
      <c r="D24" s="211" t="str">
        <f>VLOOKUP($B24,COMPOSIÇÃO!$A$10:$K$433,4,FALSE)</f>
        <v>ESCAVAÇÃO MANUAL DE VALAS. AF_03/2016 (VALA PARA TUBULAÇÃO E ATERRAMENTO DO TRANSFORMADOR)</v>
      </c>
      <c r="E24" s="96" t="str">
        <f>VLOOKUP($B24,COMPOSIÇÃO!$A$10:$K$433,5,FALSE)</f>
        <v>M3</v>
      </c>
      <c r="F24" s="99">
        <v>154.38999999999999</v>
      </c>
      <c r="G24" s="100">
        <f>VLOOKUP($B24,COMPOSIÇÃO!$A$10:$K$433,9,FALSE)</f>
        <v>0</v>
      </c>
      <c r="H24" s="100">
        <f>VLOOKUP($B24,COMPOSIÇÃO!$A$10:$K$433,10,FALSE)</f>
        <v>61.83</v>
      </c>
      <c r="I24" s="100">
        <f t="shared" si="8"/>
        <v>61.83</v>
      </c>
      <c r="J24" s="100">
        <f t="shared" si="9"/>
        <v>77.225669999999994</v>
      </c>
      <c r="K24" s="101">
        <f t="shared" si="10"/>
        <v>11922.87</v>
      </c>
      <c r="L24" s="108"/>
      <c r="O24" s="112">
        <f>1029.27*0.3*0.5</f>
        <v>154.3905</v>
      </c>
    </row>
    <row r="25" spans="1:15" s="112" customFormat="1">
      <c r="A25" s="96" t="s">
        <v>189</v>
      </c>
      <c r="B25" s="96">
        <v>11</v>
      </c>
      <c r="C25" s="97">
        <f>VLOOKUP($B25,COMPOSIÇÃO!$A$10:$K$433,3,FALSE)</f>
        <v>96995</v>
      </c>
      <c r="D25" s="211" t="str">
        <f>VLOOKUP($B25,COMPOSIÇÃO!$A$10:$K$433,4,FALSE)</f>
        <v>REATERRO DE VALA COM COMPACTAÇÃO MANUAL</v>
      </c>
      <c r="E25" s="96" t="str">
        <f>VLOOKUP($B25,COMPOSIÇÃO!$A$10:$K$433,5,FALSE)</f>
        <v>M3</v>
      </c>
      <c r="F25" s="99">
        <v>154.38999999999999</v>
      </c>
      <c r="G25" s="100">
        <f>VLOOKUP($B25,COMPOSIÇÃO!$A$10:$K$433,9,FALSE)</f>
        <v>0</v>
      </c>
      <c r="H25" s="100">
        <f>VLOOKUP($B25,COMPOSIÇÃO!$A$10:$K$433,10,FALSE)</f>
        <v>37.49</v>
      </c>
      <c r="I25" s="100">
        <f t="shared" ref="I25:I49" si="14">H25+G25</f>
        <v>37.49</v>
      </c>
      <c r="J25" s="100">
        <f t="shared" ref="J25:J49" si="15">I25*$K$6+I25</f>
        <v>46.825010000000006</v>
      </c>
      <c r="K25" s="101">
        <f t="shared" ref="K25:K49" si="16">TRUNC((J25)*F25,2)</f>
        <v>7229.31</v>
      </c>
      <c r="L25" s="108"/>
    </row>
    <row r="26" spans="1:15" s="112" customFormat="1" ht="25.5">
      <c r="A26" s="96" t="s">
        <v>190</v>
      </c>
      <c r="B26" s="96">
        <v>12</v>
      </c>
      <c r="C26" s="97">
        <f>VLOOKUP($B26,COMPOSIÇÃO!$A$10:$K$433,3,FALSE)</f>
        <v>94975</v>
      </c>
      <c r="D26" s="211" t="str">
        <f>VLOOKUP($B26,COMPOSIÇÃO!$A$10:$K$433,4,FALSE)</f>
        <v>CONCRETO FCK = 15MPA, TRAÇO 1:3,4:3,5 (CIMENTO/ AREIA MÉDIA/ BRITA 1) - PREPARO MANUAL. AF_07/2016 (PARA TRAVESSIAS E BASES DOS POSTES)</v>
      </c>
      <c r="E26" s="96" t="str">
        <f>VLOOKUP($B26,COMPOSIÇÃO!$A$10:$K$433,5,FALSE)</f>
        <v>M3</v>
      </c>
      <c r="F26" s="99">
        <v>2.2799999999999998</v>
      </c>
      <c r="G26" s="100">
        <f>VLOOKUP($B26,COMPOSIÇÃO!$A$10:$K$433,9,FALSE)</f>
        <v>229.75</v>
      </c>
      <c r="H26" s="100">
        <f>VLOOKUP($B26,COMPOSIÇÃO!$A$10:$K$433,10,FALSE)</f>
        <v>156.61000000000001</v>
      </c>
      <c r="I26" s="100">
        <f t="shared" si="14"/>
        <v>386.36</v>
      </c>
      <c r="J26" s="100">
        <f t="shared" si="15"/>
        <v>482.56364000000002</v>
      </c>
      <c r="K26" s="101">
        <f t="shared" si="16"/>
        <v>1100.24</v>
      </c>
      <c r="L26" s="108"/>
      <c r="O26" s="112">
        <f>69.15*1.1*0.1*0.3</f>
        <v>2.2819500000000001</v>
      </c>
    </row>
    <row r="27" spans="1:15" s="112" customFormat="1">
      <c r="A27" s="96" t="s">
        <v>191</v>
      </c>
      <c r="B27" s="96">
        <v>13</v>
      </c>
      <c r="C27" s="97" t="str">
        <f>VLOOKUP($B27,COMPOSIÇÃO!$A$10:$K$433,3,FALSE)</f>
        <v xml:space="preserve">74157/004 </v>
      </c>
      <c r="D27" s="211" t="str">
        <f>VLOOKUP($B27,COMPOSIÇÃO!$A$10:$K$433,4,FALSE)</f>
        <v>LANCAMENTO/APLICACAO MANUAL DE CONCRETO EM FUNDACOES</v>
      </c>
      <c r="E27" s="96" t="str">
        <f>VLOOKUP($B27,COMPOSIÇÃO!$A$10:$K$433,5,FALSE)</f>
        <v>M³</v>
      </c>
      <c r="F27" s="99">
        <v>2.2799999999999998</v>
      </c>
      <c r="G27" s="100">
        <f>VLOOKUP($B27,COMPOSIÇÃO!$A$10:$K$433,9,FALSE)</f>
        <v>0.33</v>
      </c>
      <c r="H27" s="100">
        <f>VLOOKUP($B27,COMPOSIÇÃO!$A$10:$K$433,10,FALSE)</f>
        <v>102.43</v>
      </c>
      <c r="I27" s="100">
        <f t="shared" si="14"/>
        <v>102.76</v>
      </c>
      <c r="J27" s="100">
        <f t="shared" si="15"/>
        <v>128.34724</v>
      </c>
      <c r="K27" s="101">
        <f t="shared" si="16"/>
        <v>292.63</v>
      </c>
      <c r="L27" s="108"/>
    </row>
    <row r="28" spans="1:15" s="112" customFormat="1" ht="25.5">
      <c r="A28" s="96" t="s">
        <v>192</v>
      </c>
      <c r="B28" s="96">
        <v>14</v>
      </c>
      <c r="C28" s="97" t="str">
        <f>VLOOKUP($B28,COMPOSIÇÃO!$A$10:$K$433,3,FALSE)</f>
        <v xml:space="preserve">COMPOSIÇÃO </v>
      </c>
      <c r="D28" s="211" t="str">
        <f>VLOOKUP($B28,COMPOSIÇÃO!$A$10:$K$433,4,FALSE)</f>
        <v>ELETRODUTO PVC FLEXÍVEL CORRUGADO, DN 32 MM (1"), PARA CIRCUITOS TERMINAIS, INSTALADO EM SOLO - FORNECIMENTO E INSTALAÇÃO.</v>
      </c>
      <c r="E28" s="96" t="str">
        <f>VLOOKUP($B28,COMPOSIÇÃO!$A$10:$K$433,5,FALSE)</f>
        <v>M</v>
      </c>
      <c r="F28" s="99">
        <v>78</v>
      </c>
      <c r="G28" s="100">
        <f>VLOOKUP($B28,COMPOSIÇÃO!$A$10:$K$433,9,FALSE)</f>
        <v>3.18</v>
      </c>
      <c r="H28" s="100">
        <f>VLOOKUP($B28,COMPOSIÇÃO!$A$10:$K$433,10,FALSE)</f>
        <v>3.25</v>
      </c>
      <c r="I28" s="100">
        <f t="shared" si="14"/>
        <v>6.43</v>
      </c>
      <c r="J28" s="100">
        <f t="shared" si="15"/>
        <v>8.0310699999999997</v>
      </c>
      <c r="K28" s="101">
        <f t="shared" si="16"/>
        <v>626.41999999999996</v>
      </c>
      <c r="L28" s="108"/>
      <c r="O28" s="112">
        <f>1029-69</f>
        <v>960</v>
      </c>
    </row>
    <row r="29" spans="1:15" s="112" customFormat="1" ht="25.5">
      <c r="A29" s="96" t="s">
        <v>193</v>
      </c>
      <c r="B29" s="96">
        <v>15</v>
      </c>
      <c r="C29" s="97" t="str">
        <f>VLOOKUP($B29,COMPOSIÇÃO!$A$10:$K$433,3,FALSE)</f>
        <v>COMPOSIÇÃO</v>
      </c>
      <c r="D29" s="211" t="str">
        <f>VLOOKUP($B29,COMPOSIÇÃO!$A$10:$K$433,4,FALSE)</f>
        <v>ELETRODUTO PVC FLEXÍVEL CORRUGADO, DN 32 MM (1"), PARA CIRCUITOS TERMINAIS, INSTALADO EM SOLO - FORNECIMENTO E INSTALAÇÃO.</v>
      </c>
      <c r="E29" s="96" t="str">
        <f>VLOOKUP($B29,COMPOSIÇÃO!$A$10:$K$433,5,FALSE)</f>
        <v>M</v>
      </c>
      <c r="F29" s="99">
        <v>960</v>
      </c>
      <c r="G29" s="100">
        <f>VLOOKUP($B29,COMPOSIÇÃO!$A$10:$K$433,9,FALSE)</f>
        <v>1.47</v>
      </c>
      <c r="H29" s="100">
        <f>VLOOKUP($B29,COMPOSIÇÃO!$A$10:$K$433,10,FALSE)</f>
        <v>3.5599999999999996</v>
      </c>
      <c r="I29" s="100">
        <f t="shared" si="14"/>
        <v>5.0299999999999994</v>
      </c>
      <c r="J29" s="100">
        <f t="shared" si="15"/>
        <v>6.2824699999999991</v>
      </c>
      <c r="K29" s="101">
        <f t="shared" si="16"/>
        <v>6031.17</v>
      </c>
      <c r="L29" s="108"/>
    </row>
    <row r="30" spans="1:15" s="112" customFormat="1">
      <c r="A30" s="96" t="s">
        <v>194</v>
      </c>
      <c r="B30" s="96">
        <v>16</v>
      </c>
      <c r="C30" s="97">
        <f>VLOOKUP($B30,COMPOSIÇÃO!$A$10:$K$433,3,FALSE)</f>
        <v>83446</v>
      </c>
      <c r="D30" s="211" t="str">
        <f>VLOOKUP($B30,COMPOSIÇÃO!$A$10:$K$433,4,FALSE)</f>
        <v>CAIXA DE PASSAGEM 30X30X40 COM TAMPA E DRENO BRITA</v>
      </c>
      <c r="E30" s="96" t="str">
        <f>VLOOKUP($B30,COMPOSIÇÃO!$A$10:$K$433,5,FALSE)</f>
        <v>UN</v>
      </c>
      <c r="F30" s="99">
        <v>34</v>
      </c>
      <c r="G30" s="100">
        <f>VLOOKUP($B30,COMPOSIÇÃO!$A$10:$K$433,9,FALSE)</f>
        <v>48.7</v>
      </c>
      <c r="H30" s="100">
        <f>VLOOKUP($B30,COMPOSIÇÃO!$A$10:$K$433,10,FALSE)</f>
        <v>102.2</v>
      </c>
      <c r="I30" s="100">
        <f t="shared" si="14"/>
        <v>150.9</v>
      </c>
      <c r="J30" s="100">
        <f t="shared" si="15"/>
        <v>188.47410000000002</v>
      </c>
      <c r="K30" s="101">
        <f t="shared" si="16"/>
        <v>6408.11</v>
      </c>
      <c r="L30" s="108"/>
    </row>
    <row r="31" spans="1:15" s="112" customFormat="1" ht="38.25">
      <c r="A31" s="96" t="s">
        <v>195</v>
      </c>
      <c r="B31" s="96">
        <v>17</v>
      </c>
      <c r="C31" s="97">
        <f>VLOOKUP($B31,COMPOSIÇÃO!$A$10:$K$433,3,FALSE)</f>
        <v>92365</v>
      </c>
      <c r="D31" s="211" t="str">
        <f>VLOOKUP($B31,COMPOSIÇÃO!$A$10:$K$433,4,FALSE)</f>
        <v>TUBO DE AÇO GALVANIZADO COM COSTURA, CLASSE MÉDIA, DN 40 (1 1/2"), CONEXÃO ROSQUEADA, INSTALADO EM REDE DE ALIMENTAÇÃO PARA HIDRANTE - FORNECIMENTO E INSTALAÇÃO. AF_12/2015</v>
      </c>
      <c r="E31" s="96" t="str">
        <f>VLOOKUP($B31,COMPOSIÇÃO!$A$10:$K$433,5,FALSE)</f>
        <v>M</v>
      </c>
      <c r="F31" s="99">
        <v>76</v>
      </c>
      <c r="G31" s="100">
        <f>VLOOKUP($B31,COMPOSIÇÃO!$A$10:$K$433,9,FALSE)</f>
        <v>28.13</v>
      </c>
      <c r="H31" s="100">
        <f>VLOOKUP($B31,COMPOSIÇÃO!$A$10:$K$433,10,FALSE)</f>
        <v>6.85</v>
      </c>
      <c r="I31" s="100">
        <f t="shared" si="14"/>
        <v>34.979999999999997</v>
      </c>
      <c r="J31" s="100">
        <f t="shared" si="15"/>
        <v>43.690019999999997</v>
      </c>
      <c r="K31" s="101">
        <f t="shared" si="16"/>
        <v>3320.44</v>
      </c>
      <c r="L31" s="108"/>
    </row>
    <row r="32" spans="1:15" s="112" customFormat="1">
      <c r="A32" s="96" t="s">
        <v>196</v>
      </c>
      <c r="B32" s="96">
        <v>18</v>
      </c>
      <c r="C32" s="97" t="str">
        <f>VLOOKUP($B32,COMPOSIÇÃO!$A$10:$K$433,3,FALSE)</f>
        <v>COMPOSIÇÃO</v>
      </c>
      <c r="D32" s="211" t="str">
        <f>VLOOKUP($B32,COMPOSIÇÃO!$A$10:$K$433,4,FALSE)</f>
        <v>CURVA 90 GRAUS, PVC, ROSCÁVEL, DN 50MM (11/2") - FORNECIMENTO E INSTALAÇÃO.</v>
      </c>
      <c r="E32" s="96" t="str">
        <f>VLOOKUP($B32,COMPOSIÇÃO!$A$10:$K$433,5,FALSE)</f>
        <v>UN</v>
      </c>
      <c r="F32" s="99">
        <v>2</v>
      </c>
      <c r="G32" s="100">
        <f>VLOOKUP($B32,COMPOSIÇÃO!$A$10:$K$433,9,FALSE)</f>
        <v>3.98</v>
      </c>
      <c r="H32" s="100">
        <f>VLOOKUP($B32,COMPOSIÇÃO!$A$10:$K$433,10,FALSE)</f>
        <v>10.600000000000001</v>
      </c>
      <c r="I32" s="100">
        <f t="shared" si="14"/>
        <v>14.580000000000002</v>
      </c>
      <c r="J32" s="100">
        <f t="shared" si="15"/>
        <v>18.210420000000003</v>
      </c>
      <c r="K32" s="101">
        <f t="shared" si="16"/>
        <v>36.42</v>
      </c>
      <c r="L32" s="108"/>
    </row>
    <row r="33" spans="1:12" s="112" customFormat="1" ht="25.5">
      <c r="A33" s="96" t="s">
        <v>197</v>
      </c>
      <c r="B33" s="96">
        <v>19</v>
      </c>
      <c r="C33" s="97">
        <f>VLOOKUP($B33,COMPOSIÇÃO!$A$10:$K$433,3,FALSE)</f>
        <v>93013</v>
      </c>
      <c r="D33" s="211" t="str">
        <f>VLOOKUP($B33,COMPOSIÇÃO!$A$10:$K$433,4,FALSE)</f>
        <v>LUVA PARA ELETRODUTO, PVC, ROSCÁVEL, DN 50 MM (1 1/2") - FORNECIMENTO E INSTALAÇÃO.</v>
      </c>
      <c r="E33" s="96" t="str">
        <f>VLOOKUP($B33,COMPOSIÇÃO!$A$10:$K$433,5,FALSE)</f>
        <v>UN</v>
      </c>
      <c r="F33" s="99">
        <v>20</v>
      </c>
      <c r="G33" s="100">
        <f>VLOOKUP($B33,COMPOSIÇÃO!$A$10:$K$433,9,FALSE)</f>
        <v>2.48</v>
      </c>
      <c r="H33" s="100">
        <f>VLOOKUP($B33,COMPOSIÇÃO!$A$10:$K$433,10,FALSE)</f>
        <v>7.98</v>
      </c>
      <c r="I33" s="100">
        <f t="shared" si="14"/>
        <v>10.46</v>
      </c>
      <c r="J33" s="100">
        <f t="shared" si="15"/>
        <v>13.064540000000001</v>
      </c>
      <c r="K33" s="101">
        <f t="shared" si="16"/>
        <v>261.29000000000002</v>
      </c>
      <c r="L33" s="108"/>
    </row>
    <row r="34" spans="1:12" s="112" customFormat="1" ht="25.5">
      <c r="A34" s="96" t="s">
        <v>198</v>
      </c>
      <c r="B34" s="96">
        <v>20</v>
      </c>
      <c r="C34" s="97" t="str">
        <f>VLOOKUP($B34,COMPOSIÇÃO!$A$10:$K$433,3,FALSE)</f>
        <v>COMPOSIÇÃO</v>
      </c>
      <c r="D34" s="211" t="str">
        <f>VLOOKUP($B34,COMPOSIÇÃO!$A$10:$K$433,4,FALSE)</f>
        <v xml:space="preserve">DISJUNTOR MONOPOLAR TIPO DIN, CORRENTE NOMINAL DE 2A -  FORNECIMENTO E INSTALAÇÃO. </v>
      </c>
      <c r="E34" s="96" t="str">
        <f>VLOOKUP($B34,COMPOSIÇÃO!$A$10:$K$433,5,FALSE)</f>
        <v>UN</v>
      </c>
      <c r="F34" s="99">
        <v>2</v>
      </c>
      <c r="G34" s="100">
        <f>VLOOKUP($B34,COMPOSIÇÃO!$A$10:$K$433,9,FALSE)</f>
        <v>7.1199999999999992</v>
      </c>
      <c r="H34" s="100">
        <f>VLOOKUP($B34,COMPOSIÇÃO!$A$10:$K$433,10,FALSE)</f>
        <v>1.24</v>
      </c>
      <c r="I34" s="100">
        <f t="shared" si="14"/>
        <v>8.36</v>
      </c>
      <c r="J34" s="100">
        <f t="shared" si="15"/>
        <v>10.44164</v>
      </c>
      <c r="K34" s="101">
        <f t="shared" si="16"/>
        <v>20.88</v>
      </c>
      <c r="L34" s="108"/>
    </row>
    <row r="35" spans="1:12" s="112" customFormat="1" ht="25.5">
      <c r="A35" s="96" t="s">
        <v>199</v>
      </c>
      <c r="B35" s="96">
        <v>21</v>
      </c>
      <c r="C35" s="97" t="str">
        <f>VLOOKUP($B35,COMPOSIÇÃO!$A$10:$K$433,3,FALSE)</f>
        <v>93672</v>
      </c>
      <c r="D35" s="211" t="str">
        <f>VLOOKUP($B35,COMPOSIÇÃO!$A$10:$K$433,4,FALSE)</f>
        <v>DISJUNTOR TRIPOLAR TIPO DIN, CORRENTE NOMINAL DE 40A - FORNECIMENTO E INSTALAÇÃO. AF_04/2016</v>
      </c>
      <c r="E35" s="96" t="str">
        <f>VLOOKUP($B35,COMPOSIÇÃO!$A$10:$K$433,5,FALSE)</f>
        <v>UN</v>
      </c>
      <c r="F35" s="99">
        <v>2</v>
      </c>
      <c r="G35" s="100">
        <f>VLOOKUP($B35,COMPOSIÇÃO!$A$10:$K$433,9,FALSE)</f>
        <v>48.97</v>
      </c>
      <c r="H35" s="100">
        <f>VLOOKUP($B35,COMPOSIÇÃO!$A$10:$K$433,10,FALSE)</f>
        <v>14.469999999999999</v>
      </c>
      <c r="I35" s="100">
        <f t="shared" si="14"/>
        <v>63.44</v>
      </c>
      <c r="J35" s="100">
        <f t="shared" si="15"/>
        <v>79.236559999999997</v>
      </c>
      <c r="K35" s="101">
        <f t="shared" si="16"/>
        <v>158.47</v>
      </c>
      <c r="L35" s="108"/>
    </row>
    <row r="36" spans="1:12" s="112" customFormat="1" ht="25.5">
      <c r="A36" s="96" t="s">
        <v>200</v>
      </c>
      <c r="B36" s="96">
        <v>22</v>
      </c>
      <c r="C36" s="97" t="str">
        <f>VLOOKUP($B36,COMPOSIÇÃO!$A$10:$K$433,3,FALSE)</f>
        <v>83463</v>
      </c>
      <c r="D36" s="211" t="str">
        <f>VLOOKUP($B36,COMPOSIÇÃO!$A$10:$K$433,4,FALSE)</f>
        <v>QUADRO DE DISTRIBUICAO DE ENERGIA EM CHAPA DE ACO GALVANIZADO, PARA 12 DISJUNTORES TERMOMAGNETICOS MONOPOLARES, COM BARRAMENTO TRIFASICO E NEUTRO - FORNECIMENTO E INSTALACAO</v>
      </c>
      <c r="E36" s="96" t="str">
        <f>VLOOKUP($B36,COMPOSIÇÃO!$A$10:$K$433,5,FALSE)</f>
        <v>UN</v>
      </c>
      <c r="F36" s="99">
        <v>2</v>
      </c>
      <c r="G36" s="100">
        <f>VLOOKUP($B36,COMPOSIÇÃO!$A$10:$K$433,9,FALSE)</f>
        <v>240.69</v>
      </c>
      <c r="H36" s="100">
        <f>VLOOKUP($B36,COMPOSIÇÃO!$A$10:$K$433,10,FALSE)</f>
        <v>71.36</v>
      </c>
      <c r="I36" s="100">
        <f t="shared" si="14"/>
        <v>312.05</v>
      </c>
      <c r="J36" s="100">
        <f t="shared" si="15"/>
        <v>389.75045</v>
      </c>
      <c r="K36" s="101">
        <f t="shared" si="16"/>
        <v>779.5</v>
      </c>
      <c r="L36" s="108"/>
    </row>
    <row r="37" spans="1:12" s="112" customFormat="1">
      <c r="A37" s="96" t="s">
        <v>201</v>
      </c>
      <c r="B37" s="96">
        <v>23</v>
      </c>
      <c r="C37" s="97" t="str">
        <f>VLOOKUP($B37,COMPOSIÇÃO!$A$10:$K$433,3,FALSE)</f>
        <v>96985</v>
      </c>
      <c r="D37" s="211" t="str">
        <f>VLOOKUP($B37,COMPOSIÇÃO!$A$10:$K$433,4,FALSE)</f>
        <v>HASTE DE ATERRAMENTO 5/8  PARA SPDA - FORNECIMENTO E INSTALAÇÃO. AF_12/2017</v>
      </c>
      <c r="E37" s="96" t="str">
        <f>VLOOKUP($B37,COMPOSIÇÃO!$A$10:$K$433,5,FALSE)</f>
        <v>UN</v>
      </c>
      <c r="F37" s="99">
        <v>33</v>
      </c>
      <c r="G37" s="100">
        <f>VLOOKUP($B37,COMPOSIÇÃO!$A$10:$K$433,9,FALSE)</f>
        <v>5.0999999999999996</v>
      </c>
      <c r="H37" s="100">
        <f>VLOOKUP($B37,COMPOSIÇÃO!$A$10:$K$433,10,FALSE)</f>
        <v>34.799999999999997</v>
      </c>
      <c r="I37" s="100">
        <f t="shared" si="14"/>
        <v>39.9</v>
      </c>
      <c r="J37" s="100">
        <f t="shared" si="15"/>
        <v>49.835099999999997</v>
      </c>
      <c r="K37" s="101">
        <f t="shared" si="16"/>
        <v>1644.55</v>
      </c>
      <c r="L37" s="108"/>
    </row>
    <row r="38" spans="1:12" s="112" customFormat="1" ht="25.5">
      <c r="A38" s="96" t="s">
        <v>202</v>
      </c>
      <c r="B38" s="96">
        <v>24</v>
      </c>
      <c r="C38" s="97">
        <f>VLOOKUP($B38,COMPOSIÇÃO!$A$10:$K$433,3,FALSE)</f>
        <v>72344</v>
      </c>
      <c r="D38" s="211" t="str">
        <f>VLOOKUP($B38,COMPOSIÇÃO!$A$10:$K$433,4,FALSE)</f>
        <v>CONTATOR TRIPOLAR I NOMINAL 36A - FORNECIMENTO E INSTALACAO INCLUSIVE ELETROTÉCNICO</v>
      </c>
      <c r="E38" s="96" t="str">
        <f>VLOOKUP($B38,COMPOSIÇÃO!$A$10:$K$433,5,FALSE)</f>
        <v>UN</v>
      </c>
      <c r="F38" s="99">
        <v>2</v>
      </c>
      <c r="G38" s="100">
        <f>VLOOKUP($B38,COMPOSIÇÃO!$A$10:$K$433,9,FALSE)</f>
        <v>221.18</v>
      </c>
      <c r="H38" s="100">
        <f>VLOOKUP($B38,COMPOSIÇÃO!$A$10:$K$433,10,FALSE)</f>
        <v>149.32999999999998</v>
      </c>
      <c r="I38" s="100">
        <f t="shared" si="14"/>
        <v>370.51</v>
      </c>
      <c r="J38" s="100">
        <f t="shared" si="15"/>
        <v>462.76698999999996</v>
      </c>
      <c r="K38" s="101">
        <f t="shared" si="16"/>
        <v>925.53</v>
      </c>
      <c r="L38" s="108"/>
    </row>
    <row r="39" spans="1:12" s="112" customFormat="1">
      <c r="A39" s="96" t="s">
        <v>203</v>
      </c>
      <c r="B39" s="96">
        <v>25</v>
      </c>
      <c r="C39" s="97" t="str">
        <f>VLOOKUP($B39,COMPOSIÇÃO!$A$10:$K$433,3,FALSE)</f>
        <v xml:space="preserve">COMPOSIÇÃO </v>
      </c>
      <c r="D39" s="211" t="str">
        <f>VLOOKUP($B39,COMPOSIÇÃO!$A$10:$K$433,4,FALSE)</f>
        <v>FUSÍVEL TIPO NH 30A - TAMANHO 00 - FORNECIMENTO E INSTALACAO</v>
      </c>
      <c r="E39" s="96" t="str">
        <f>VLOOKUP($B39,COMPOSIÇÃO!$A$10:$K$433,5,FALSE)</f>
        <v>UN</v>
      </c>
      <c r="F39" s="99">
        <v>27</v>
      </c>
      <c r="G39" s="100">
        <f>VLOOKUP($B39,COMPOSIÇÃO!$A$10:$K$433,9,FALSE)</f>
        <v>7.98</v>
      </c>
      <c r="H39" s="100">
        <f>VLOOKUP($B39,COMPOSIÇÃO!$A$10:$K$433,10,FALSE)</f>
        <v>4.03</v>
      </c>
      <c r="I39" s="100">
        <f t="shared" si="14"/>
        <v>12.010000000000002</v>
      </c>
      <c r="J39" s="100">
        <f t="shared" si="15"/>
        <v>15.000490000000003</v>
      </c>
      <c r="K39" s="101">
        <f t="shared" si="16"/>
        <v>405.01</v>
      </c>
      <c r="L39" s="108"/>
    </row>
    <row r="40" spans="1:12" s="112" customFormat="1">
      <c r="A40" s="96" t="s">
        <v>204</v>
      </c>
      <c r="B40" s="96">
        <v>26</v>
      </c>
      <c r="C40" s="97" t="str">
        <f>VLOOKUP($B40,COMPOSIÇÃO!$A$10:$K$433,3,FALSE)</f>
        <v>COMPOSIÇÃO</v>
      </c>
      <c r="D40" s="211" t="str">
        <f>VLOOKUP($B40,COMPOSIÇÃO!$A$10:$K$433,4,FALSE)</f>
        <v>BASE PARA FUSÍVEL TIPO NH - TAMANHO 00 - FORNECIMENTO E INSTALACAO</v>
      </c>
      <c r="E40" s="96" t="str">
        <f>VLOOKUP($B40,COMPOSIÇÃO!$A$10:$K$433,5,FALSE)</f>
        <v>UN</v>
      </c>
      <c r="F40" s="99">
        <v>28</v>
      </c>
      <c r="G40" s="100">
        <f>VLOOKUP($B40,COMPOSIÇÃO!$A$10:$K$433,9,FALSE)</f>
        <v>79.41</v>
      </c>
      <c r="H40" s="100">
        <f>VLOOKUP($B40,COMPOSIÇÃO!$A$10:$K$433,10,FALSE)</f>
        <v>17.829999999999998</v>
      </c>
      <c r="I40" s="100">
        <f t="shared" si="14"/>
        <v>97.24</v>
      </c>
      <c r="J40" s="100">
        <f t="shared" si="15"/>
        <v>121.45276</v>
      </c>
      <c r="K40" s="101">
        <f t="shared" si="16"/>
        <v>3400.67</v>
      </c>
      <c r="L40" s="108"/>
    </row>
    <row r="41" spans="1:12" s="112" customFormat="1" ht="25.5">
      <c r="A41" s="96" t="s">
        <v>205</v>
      </c>
      <c r="B41" s="96">
        <v>27</v>
      </c>
      <c r="C41" s="97" t="str">
        <f>VLOOKUP($B41,COMPOSIÇÃO!$A$10:$K$433,3,FALSE)</f>
        <v>COMPOSIÇÃO</v>
      </c>
      <c r="D41" s="211" t="str">
        <f>VLOOKUP($B41,COMPOSIÇÃO!$A$10:$K$433,4,FALSE)</f>
        <v>RELE FOTOELETRICO P/ COMANDO DE ILUMINACAO EXTERNA 220V/1000W COM BASE - FORNECIMENTO E INSTALACAO</v>
      </c>
      <c r="E41" s="96" t="str">
        <f>VLOOKUP($B41,COMPOSIÇÃO!$A$10:$K$433,5,FALSE)</f>
        <v>UN</v>
      </c>
      <c r="F41" s="99">
        <v>29</v>
      </c>
      <c r="G41" s="100">
        <f>VLOOKUP($B41,COMPOSIÇÃO!$A$10:$K$433,9,FALSE)</f>
        <v>24.02</v>
      </c>
      <c r="H41" s="100">
        <f>VLOOKUP($B41,COMPOSIÇÃO!$A$10:$K$433,10,FALSE)</f>
        <v>12.52</v>
      </c>
      <c r="I41" s="100">
        <f t="shared" si="14"/>
        <v>36.54</v>
      </c>
      <c r="J41" s="100">
        <f t="shared" si="15"/>
        <v>45.638459999999995</v>
      </c>
      <c r="K41" s="101">
        <f t="shared" si="16"/>
        <v>1323.51</v>
      </c>
      <c r="L41" s="108"/>
    </row>
    <row r="42" spans="1:12" s="112" customFormat="1" ht="25.5">
      <c r="A42" s="96" t="s">
        <v>206</v>
      </c>
      <c r="B42" s="96">
        <v>28</v>
      </c>
      <c r="C42" s="97" t="str">
        <f>VLOOKUP($B42,COMPOSIÇÃO!$A$10:$K$433,3,FALSE)</f>
        <v>91926</v>
      </c>
      <c r="D42" s="211" t="str">
        <f>VLOOKUP($B42,COMPOSIÇÃO!$A$10:$K$433,4,FALSE)</f>
        <v>CABO DE COBRE FLEXÍVEL ISOLADO, 2,5 MM², ANTI-CHAMA 450/750 V, PARA CIRCUITOS TERMINAIS - FORNECIMENTO E INSTALAÇÃO. AF_12/2015</v>
      </c>
      <c r="E42" s="96" t="str">
        <f>VLOOKUP($B42,COMPOSIÇÃO!$A$10:$K$433,5,FALSE)</f>
        <v>M</v>
      </c>
      <c r="F42" s="99">
        <v>30</v>
      </c>
      <c r="G42" s="100">
        <f>VLOOKUP($B42,COMPOSIÇÃO!$A$10:$K$433,9,FALSE)</f>
        <v>1.46</v>
      </c>
      <c r="H42" s="100">
        <f>VLOOKUP($B42,COMPOSIÇÃO!$A$10:$K$433,10,FALSE)</f>
        <v>1.06</v>
      </c>
      <c r="I42" s="100">
        <f t="shared" si="14"/>
        <v>2.52</v>
      </c>
      <c r="J42" s="100">
        <f t="shared" si="15"/>
        <v>3.1474799999999998</v>
      </c>
      <c r="K42" s="101">
        <f t="shared" si="16"/>
        <v>94.42</v>
      </c>
      <c r="L42" s="108"/>
    </row>
    <row r="43" spans="1:12" s="112" customFormat="1" ht="25.5">
      <c r="A43" s="96" t="s">
        <v>207</v>
      </c>
      <c r="B43" s="96">
        <v>29</v>
      </c>
      <c r="C43" s="97" t="str">
        <f>VLOOKUP($B43,COMPOSIÇÃO!$A$10:$K$433,3,FALSE)</f>
        <v>91929</v>
      </c>
      <c r="D43" s="211" t="str">
        <f>VLOOKUP($B43,COMPOSIÇÃO!$A$10:$K$433,4,FALSE)</f>
        <v>CABO DE COBRE FLEXÍVEL ISOLADO, 4 MM², ANTI-CHAMA 0,6/1,0 KV, PARA CIRCUITOS TERMINAIS - FORNECIMENTO E INSTALAÇÃO. AF_12/2015 (cor verde para aterramento)</v>
      </c>
      <c r="E43" s="96" t="str">
        <f>VLOOKUP($B43,COMPOSIÇÃO!$A$10:$K$433,5,FALSE)</f>
        <v>M</v>
      </c>
      <c r="F43" s="99">
        <v>31</v>
      </c>
      <c r="G43" s="100">
        <f>VLOOKUP($B43,COMPOSIÇÃO!$A$10:$K$433,9,FALSE)</f>
        <v>3.0999999999999996</v>
      </c>
      <c r="H43" s="100">
        <f>VLOOKUP($B43,COMPOSIÇÃO!$A$10:$K$433,10,FALSE)</f>
        <v>1.42</v>
      </c>
      <c r="I43" s="100">
        <f t="shared" si="14"/>
        <v>4.5199999999999996</v>
      </c>
      <c r="J43" s="100">
        <f t="shared" si="15"/>
        <v>5.6454799999999992</v>
      </c>
      <c r="K43" s="101">
        <f t="shared" si="16"/>
        <v>175</v>
      </c>
      <c r="L43" s="108"/>
    </row>
    <row r="44" spans="1:12" s="112" customFormat="1" ht="25.5">
      <c r="A44" s="96" t="s">
        <v>208</v>
      </c>
      <c r="B44" s="96">
        <v>30</v>
      </c>
      <c r="C44" s="97" t="str">
        <f>VLOOKUP($B44,COMPOSIÇÃO!$A$10:$K$433,3,FALSE)</f>
        <v>91931</v>
      </c>
      <c r="D44" s="211" t="str">
        <f>VLOOKUP($B44,COMPOSIÇÃO!$A$10:$K$433,4,FALSE)</f>
        <v>CABO DE COBRE FLEXÍVEL ISOLADO, 6 MM², ANTI-CHAMA 0,6/1,0 KV, PARA CIRCUITOS TERMINAIS - FORNECIMENTO E INSTALAÇÃO. AF_12/2015</v>
      </c>
      <c r="E44" s="96" t="str">
        <f>VLOOKUP($B44,COMPOSIÇÃO!$A$10:$K$433,5,FALSE)</f>
        <v>M</v>
      </c>
      <c r="F44" s="99">
        <v>32</v>
      </c>
      <c r="G44" s="100">
        <f>VLOOKUP($B44,COMPOSIÇÃO!$A$10:$K$433,9,FALSE)</f>
        <v>4.2300000000000004</v>
      </c>
      <c r="H44" s="100">
        <f>VLOOKUP($B44,COMPOSIÇÃO!$A$10:$K$433,10,FALSE)</f>
        <v>1.84</v>
      </c>
      <c r="I44" s="100">
        <f t="shared" si="14"/>
        <v>6.07</v>
      </c>
      <c r="J44" s="100">
        <f t="shared" si="15"/>
        <v>7.5814300000000001</v>
      </c>
      <c r="K44" s="101">
        <f t="shared" si="16"/>
        <v>242.6</v>
      </c>
      <c r="L44" s="108"/>
    </row>
    <row r="45" spans="1:12" s="112" customFormat="1" ht="25.5">
      <c r="A45" s="96" t="s">
        <v>209</v>
      </c>
      <c r="B45" s="96">
        <v>31</v>
      </c>
      <c r="C45" s="97" t="str">
        <f>VLOOKUP($B45,COMPOSIÇÃO!$A$10:$K$433,3,FALSE)</f>
        <v>91933</v>
      </c>
      <c r="D45" s="211" t="str">
        <f>VLOOKUP($B45,COMPOSIÇÃO!$A$10:$K$433,4,FALSE)</f>
        <v>CABO DE COBRE FLEXÍVEL ISOLADO, 10 MM², ANTI-CHAMA 0,6/1,0 KV, PARA CIRCUITOS TERMINAIS - FORNECIMENTO E INSTALAÇÃO. AF_12/2015</v>
      </c>
      <c r="E45" s="96" t="str">
        <f>VLOOKUP($B45,COMPOSIÇÃO!$A$10:$K$433,5,FALSE)</f>
        <v>M</v>
      </c>
      <c r="F45" s="99">
        <v>33</v>
      </c>
      <c r="G45" s="100">
        <f>VLOOKUP($B45,COMPOSIÇÃO!$A$10:$K$433,9,FALSE)</f>
        <v>6.75</v>
      </c>
      <c r="H45" s="100">
        <f>VLOOKUP($B45,COMPOSIÇÃO!$A$10:$K$433,10,FALSE)</f>
        <v>2.74</v>
      </c>
      <c r="I45" s="100">
        <f t="shared" si="14"/>
        <v>9.49</v>
      </c>
      <c r="J45" s="100">
        <f t="shared" si="15"/>
        <v>11.853010000000001</v>
      </c>
      <c r="K45" s="101">
        <f t="shared" si="16"/>
        <v>391.14</v>
      </c>
      <c r="L45" s="108"/>
    </row>
    <row r="46" spans="1:12" s="112" customFormat="1" ht="25.5">
      <c r="A46" s="96" t="s">
        <v>210</v>
      </c>
      <c r="B46" s="96">
        <v>32</v>
      </c>
      <c r="C46" s="97">
        <f>VLOOKUP($B46,COMPOSIÇÃO!$A$10:$K$433,3,FALSE)</f>
        <v>92982</v>
      </c>
      <c r="D46" s="211" t="str">
        <f>VLOOKUP($B46,COMPOSIÇÃO!$A$10:$K$433,4,FALSE)</f>
        <v>CABO DE COBRE FLEXÍVEL ISOLADO, 16 MM², ANTI-CHAMA 0,6/1,0 KV, PARA CIRCUITOS TERMINAIS - FORNECIMENTO E INSTALAÇÃO. AF_12/2015</v>
      </c>
      <c r="E46" s="96" t="str">
        <f>VLOOKUP($B46,COMPOSIÇÃO!$A$10:$K$433,5,FALSE)</f>
        <v>M</v>
      </c>
      <c r="F46" s="99">
        <v>34</v>
      </c>
      <c r="G46" s="100">
        <f>VLOOKUP($B46,COMPOSIÇÃO!$A$10:$K$433,9,FALSE)</f>
        <v>8.93</v>
      </c>
      <c r="H46" s="100">
        <f>VLOOKUP($B46,COMPOSIÇÃO!$A$10:$K$433,10,FALSE)</f>
        <v>0.46</v>
      </c>
      <c r="I46" s="100">
        <f t="shared" si="14"/>
        <v>9.39</v>
      </c>
      <c r="J46" s="100">
        <f t="shared" si="15"/>
        <v>11.728110000000001</v>
      </c>
      <c r="K46" s="101">
        <f t="shared" si="16"/>
        <v>398.75</v>
      </c>
      <c r="L46" s="108"/>
    </row>
    <row r="47" spans="1:12" s="112" customFormat="1" ht="25.5">
      <c r="A47" s="96" t="s">
        <v>211</v>
      </c>
      <c r="B47" s="96">
        <v>33</v>
      </c>
      <c r="C47" s="97">
        <f>VLOOKUP($B47,COMPOSIÇÃO!$A$10:$K$433,3,FALSE)</f>
        <v>92984</v>
      </c>
      <c r="D47" s="211" t="str">
        <f>VLOOKUP($B47,COMPOSIÇÃO!$A$10:$K$433,4,FALSE)</f>
        <v>CABO DE COBRE FLEXÍVEL ISOLADO, 25 MM², ANTI-CHAMA 0,6/1,0 KV, PARA CIRCUITOS TERMINAIS - FORNECIMENTO E INSTALAÇÃO. AF_12/2015</v>
      </c>
      <c r="E47" s="96" t="str">
        <f>VLOOKUP($B47,COMPOSIÇÃO!$A$10:$K$433,5,FALSE)</f>
        <v>M</v>
      </c>
      <c r="F47" s="99">
        <v>35</v>
      </c>
      <c r="G47" s="100">
        <f>VLOOKUP($B47,COMPOSIÇÃO!$A$10:$K$433,9,FALSE)</f>
        <v>13.42</v>
      </c>
      <c r="H47" s="100">
        <f>VLOOKUP($B47,COMPOSIÇÃO!$A$10:$K$433,10,FALSE)</f>
        <v>2.2800000000000002</v>
      </c>
      <c r="I47" s="100">
        <f t="shared" si="14"/>
        <v>15.7</v>
      </c>
      <c r="J47" s="100">
        <f t="shared" si="15"/>
        <v>19.609299999999998</v>
      </c>
      <c r="K47" s="101">
        <f t="shared" si="16"/>
        <v>686.32</v>
      </c>
      <c r="L47" s="108"/>
    </row>
    <row r="48" spans="1:12" s="112" customFormat="1" ht="25.5">
      <c r="A48" s="96" t="s">
        <v>212</v>
      </c>
      <c r="B48" s="96">
        <v>34</v>
      </c>
      <c r="C48" s="97">
        <f>VLOOKUP($B48,COMPOSIÇÃO!$A$10:$K$433,3,FALSE)</f>
        <v>92986</v>
      </c>
      <c r="D48" s="211" t="str">
        <f>VLOOKUP($B48,COMPOSIÇÃO!$A$10:$K$433,4,FALSE)</f>
        <v>CABO DE COBRE FLEXÍVEL ISOLADO, 35 MM², ANTI-CHAMA 0,6/1,0 KV, PARA CIRCUITOS TERMINAIS - FORNECIMENTO E INSTALAÇÃO. AF_12/2015</v>
      </c>
      <c r="E48" s="96" t="str">
        <f>VLOOKUP($B48,COMPOSIÇÃO!$A$10:$K$433,5,FALSE)</f>
        <v>M</v>
      </c>
      <c r="F48" s="99">
        <v>36</v>
      </c>
      <c r="G48" s="100">
        <f>VLOOKUP($B48,COMPOSIÇÃO!$A$10:$K$433,9,FALSE)</f>
        <v>18.490000000000002</v>
      </c>
      <c r="H48" s="100">
        <f>VLOOKUP($B48,COMPOSIÇÃO!$A$10:$K$433,10,FALSE)</f>
        <v>2.5999999999999996</v>
      </c>
      <c r="I48" s="100">
        <f t="shared" si="14"/>
        <v>21.090000000000003</v>
      </c>
      <c r="J48" s="100">
        <f t="shared" si="15"/>
        <v>26.341410000000003</v>
      </c>
      <c r="K48" s="101">
        <f t="shared" si="16"/>
        <v>948.29</v>
      </c>
      <c r="L48" s="108"/>
    </row>
    <row r="49" spans="1:12" s="112" customFormat="1" ht="25.5">
      <c r="A49" s="96" t="s">
        <v>213</v>
      </c>
      <c r="B49" s="96">
        <v>35</v>
      </c>
      <c r="C49" s="97" t="str">
        <f>VLOOKUP($B49,COMPOSIÇÃO!$A$10:$K$433,3,FALSE)</f>
        <v>COMPOSIÇÃO</v>
      </c>
      <c r="D49" s="211" t="str">
        <f>VLOOKUP($B49,COMPOSIÇÃO!$A$10:$K$433,4,FALSE)</f>
        <v>POSTE DE AÇO TELECÔNICO CURVO DUPLO, ENGASTAMENTO DIRETO AO SOLO, SEM JANELA DE INSPEÇÃO H=9M - FORNECIMENTO E INSTALAÇÃO</v>
      </c>
      <c r="E49" s="96" t="str">
        <f>VLOOKUP($B49,COMPOSIÇÃO!$A$10:$K$433,5,FALSE)</f>
        <v>UN</v>
      </c>
      <c r="F49" s="99">
        <v>30</v>
      </c>
      <c r="G49" s="100">
        <f>VLOOKUP($B49,COMPOSIÇÃO!$A$10:$K$433,9,FALSE)</f>
        <v>1108.9000000000001</v>
      </c>
      <c r="H49" s="100">
        <f>VLOOKUP($B49,COMPOSIÇÃO!$A$10:$K$433,10,FALSE)</f>
        <v>86.72</v>
      </c>
      <c r="I49" s="100">
        <f t="shared" si="14"/>
        <v>1195.6200000000001</v>
      </c>
      <c r="J49" s="100">
        <f t="shared" si="15"/>
        <v>1493.3293800000001</v>
      </c>
      <c r="K49" s="101">
        <f t="shared" si="16"/>
        <v>44799.88</v>
      </c>
      <c r="L49" s="108"/>
    </row>
    <row r="50" spans="1:12" s="112" customFormat="1" ht="30.75" customHeight="1">
      <c r="A50" s="96" t="s">
        <v>214</v>
      </c>
      <c r="B50" s="96">
        <v>36</v>
      </c>
      <c r="C50" s="97" t="str">
        <f>VLOOKUP($B50,COMPOSIÇÃO!$A$10:$K$433,3,FALSE)</f>
        <v>COMPOSIÇÃO</v>
      </c>
      <c r="D50" s="211" t="str">
        <f>VLOOKUP($B50,COMPOSIÇÃO!$A$10:$K$433,4,FALSE)</f>
        <v>POSTE CONCRETO SEÇÃO CIRCULAR COMPRIMENTO=15M  E CARGA NOMINAL 200KG INCLUSIVE ESCAVACAO EXCLUSIVE TRANSPORTE - FORNECIMENTO E COLOCAÇÃO</v>
      </c>
      <c r="E50" s="96" t="str">
        <f>VLOOKUP($B50,COMPOSIÇÃO!$A$10:$K$433,5,FALSE)</f>
        <v>UN</v>
      </c>
      <c r="F50" s="99">
        <v>1</v>
      </c>
      <c r="G50" s="100">
        <f>VLOOKUP($B50,COMPOSIÇÃO!$A$10:$K$433,9,FALSE)</f>
        <v>2319.4700000000003</v>
      </c>
      <c r="H50" s="100">
        <f>VLOOKUP($B50,COMPOSIÇÃO!$A$10:$K$433,10,FALSE)</f>
        <v>125.63</v>
      </c>
      <c r="I50" s="100">
        <f t="shared" ref="I50" si="17">H50+G50</f>
        <v>2445.1000000000004</v>
      </c>
      <c r="J50" s="100">
        <f t="shared" ref="J50" si="18">I50*$K$6+I50</f>
        <v>3053.9299000000005</v>
      </c>
      <c r="K50" s="101">
        <f t="shared" ref="K50" si="19">TRUNC((J50)*F50,2)</f>
        <v>3053.92</v>
      </c>
      <c r="L50" s="108"/>
    </row>
    <row r="51" spans="1:12" s="112" customFormat="1" ht="38.25">
      <c r="A51" s="96" t="s">
        <v>215</v>
      </c>
      <c r="B51" s="96">
        <v>7</v>
      </c>
      <c r="C51" s="97" t="str">
        <f>VLOOKUP($B51,COMPOSIÇÃO!$A$10:$K$433,3,FALSE)</f>
        <v>COMPOSIÇÃO</v>
      </c>
      <c r="D51" s="211" t="str">
        <f>VLOOKUP($B51,COMPOSIÇÃO!$A$10:$K$433,4,FALSE)</f>
        <v>BRAÇO TUBULAR EM AÇO GALVANIZADO A QUENTE COM  4,0m   COMPRIMENTO  x 48mm x 3,00mm +/- 0,5mm DE ESPESSURA, MODELO ASA DE BORBOLETA, CONFORME PLANTA DO PROJETO E ACESSÓRIOS DE FIXAÇÃO - FORNECIMENTO E INSTALACÃO</v>
      </c>
      <c r="E51" s="96" t="str">
        <f>VLOOKUP($B51,COMPOSIÇÃO!$A$10:$K$433,5,FALSE)</f>
        <v>UN</v>
      </c>
      <c r="F51" s="99">
        <v>2</v>
      </c>
      <c r="G51" s="100">
        <f>VLOOKUP($B51,COMPOSIÇÃO!$A$10:$K$433,9,FALSE)</f>
        <v>362.72</v>
      </c>
      <c r="H51" s="100">
        <f>VLOOKUP($B51,COMPOSIÇÃO!$A$10:$K$433,10,FALSE)</f>
        <v>159.39000000000001</v>
      </c>
      <c r="I51" s="100">
        <f t="shared" ref="I51" si="20">H51+G51</f>
        <v>522.11</v>
      </c>
      <c r="J51" s="100">
        <f t="shared" ref="J51" si="21">I51*$K$6+I51</f>
        <v>652.11539000000005</v>
      </c>
      <c r="K51" s="101">
        <f t="shared" ref="K51" si="22">TRUNC((J51)*F51,2)</f>
        <v>1304.23</v>
      </c>
      <c r="L51" s="108"/>
    </row>
    <row r="52" spans="1:12" s="112" customFormat="1" ht="51">
      <c r="A52" s="96" t="s">
        <v>216</v>
      </c>
      <c r="B52" s="96">
        <v>8</v>
      </c>
      <c r="C52" s="97" t="str">
        <f>VLOOKUP($B52,COMPOSIÇÃO!$A$10:$K$433,3,FALSE)</f>
        <v>COMPOSIÇÃO</v>
      </c>
      <c r="D52" s="211" t="str">
        <f>VLOOKUP($B52,COMPOSIÇÃO!$A$10:$K$433,4,FALSE)</f>
        <v>LUMINÁRIA EM LED PARA ILUMINAÇÃO PÚBLICA, 100W, LED AC, LENTES POLICARBONATO,CORPO EM ALUMÍNIO INJ, 220V, FP0,97, PROT. DPS 10KV, IP65, IK10, TEMP. COR 5700K, IRC= OU 70%, V. ÚTIL 50.000H, 110LM/W, LM79, GAR.5 ANOS, MODELO GL316 G-LIGHT OU SIMILAR - FORNECIMENTO E INSTALAÇÃO.</v>
      </c>
      <c r="E52" s="96" t="str">
        <f>VLOOKUP($B52,COMPOSIÇÃO!$A$10:$K$433,5,FALSE)</f>
        <v>UN</v>
      </c>
      <c r="F52" s="99">
        <v>60</v>
      </c>
      <c r="G52" s="100">
        <f>VLOOKUP($B52,COMPOSIÇÃO!$A$10:$K$433,9,FALSE)</f>
        <v>1050</v>
      </c>
      <c r="H52" s="100">
        <f>VLOOKUP($B52,COMPOSIÇÃO!$A$10:$K$433,10,FALSE)</f>
        <v>35.800000000000004</v>
      </c>
      <c r="I52" s="100">
        <f t="shared" ref="I52:I53" si="23">H52+G52</f>
        <v>1085.8</v>
      </c>
      <c r="J52" s="100">
        <f t="shared" ref="J52:J53" si="24">I52*$K$6+I52</f>
        <v>1356.1641999999999</v>
      </c>
      <c r="K52" s="101">
        <f t="shared" ref="K52:K53" si="25">TRUNC((J52)*F52,2)</f>
        <v>81369.850000000006</v>
      </c>
      <c r="L52" s="108"/>
    </row>
    <row r="53" spans="1:12" s="112" customFormat="1" ht="51">
      <c r="A53" s="96" t="s">
        <v>217</v>
      </c>
      <c r="B53" s="96">
        <v>9</v>
      </c>
      <c r="C53" s="97" t="str">
        <f>VLOOKUP($B53,COMPOSIÇÃO!$A$10:$K$433,3,FALSE)</f>
        <v xml:space="preserve">COMPOSIÇÃO  </v>
      </c>
      <c r="D53" s="211" t="str">
        <f>VLOOKUP($B53,COMPOSIÇÃO!$A$10:$K$433,4,FALSE)</f>
        <v>LUMINARIA DE LED PARA ILUMINACAO PÚBLICA, COM POTÊNCIA DE CONSUMO DE 150W E EFICIÊNCIA 110LM/W, FLUXO TOTAL MÍNIMO 16.500LM,  TEMPERATURA DE COR= 5000K +/- 400K, IRC&gt;70, TENSÃO DE ALIMENTAÇÃO ~90 A 277V E DISPOSITIVO DE PROTEÇÃO CONTRA DESCARGAS ATMOSFÉRICA-DPS, IP-66,  MODELO MAESTRA DA ILUMATIC, STREET LIGHTING GREENVISION BRP373 DA  PHILIPS, LEDVANCE®SKY DA OSRAM OU EQUIVALENTE - FORNECIMENTO E INSTALAÇÃO (OBS.: DEVERÃO SER OBSERVADOS OS REQUISITOS MÍNIMOS, CONFORME TERMO DE REFERÊNCIA DAS LUMINÁRIAS, CONSTANTES NO MEMORIAL DESCRITIVO).</v>
      </c>
      <c r="E53" s="96" t="str">
        <f>VLOOKUP($B53,COMPOSIÇÃO!$A$10:$K$433,5,FALSE)</f>
        <v>UN</v>
      </c>
      <c r="F53" s="99">
        <v>2</v>
      </c>
      <c r="G53" s="100">
        <f>VLOOKUP($B53,COMPOSIÇÃO!$A$10:$K$433,9,FALSE)</f>
        <v>1898.59</v>
      </c>
      <c r="H53" s="100">
        <f>VLOOKUP($B53,COMPOSIÇÃO!$A$10:$K$433,10,FALSE)</f>
        <v>35.800000000000004</v>
      </c>
      <c r="I53" s="100">
        <f t="shared" si="23"/>
        <v>1934.3899999999999</v>
      </c>
      <c r="J53" s="100">
        <f t="shared" si="24"/>
        <v>2416.0531099999998</v>
      </c>
      <c r="K53" s="101">
        <f t="shared" si="25"/>
        <v>4832.1000000000004</v>
      </c>
      <c r="L53" s="108"/>
    </row>
    <row r="54" spans="1:12" s="112" customFormat="1">
      <c r="A54" s="103"/>
      <c r="B54" s="103"/>
      <c r="C54" s="103"/>
      <c r="D54" s="104" t="s">
        <v>10</v>
      </c>
      <c r="E54" s="105"/>
      <c r="F54" s="106"/>
      <c r="G54" s="107"/>
      <c r="H54" s="118"/>
      <c r="I54" s="118"/>
      <c r="J54" s="118"/>
      <c r="K54" s="111">
        <f>SUM(K20:N53)</f>
        <v>195563.58000000002</v>
      </c>
      <c r="L54" s="108"/>
    </row>
    <row r="55" spans="1:12" s="112" customFormat="1">
      <c r="A55" s="119"/>
      <c r="B55" s="119"/>
      <c r="C55" s="119"/>
      <c r="D55" s="120"/>
      <c r="E55" s="121"/>
      <c r="F55" s="122"/>
      <c r="G55" s="123"/>
      <c r="H55" s="124"/>
      <c r="I55" s="124"/>
      <c r="J55" s="124"/>
      <c r="K55" s="125"/>
      <c r="L55" s="108"/>
    </row>
    <row r="56" spans="1:12" s="112" customFormat="1" ht="18.75">
      <c r="A56" s="213"/>
      <c r="B56" s="214"/>
      <c r="C56" s="215"/>
      <c r="D56" s="258" t="s">
        <v>103</v>
      </c>
      <c r="E56" s="258"/>
      <c r="F56" s="258"/>
      <c r="G56" s="216"/>
      <c r="H56" s="216"/>
      <c r="I56" s="216"/>
      <c r="J56" s="216"/>
      <c r="K56" s="217">
        <f>TRUNC((K15+K54),2)</f>
        <v>204245.9</v>
      </c>
      <c r="L56" s="108"/>
    </row>
    <row r="57" spans="1:12">
      <c r="L57" s="108"/>
    </row>
    <row r="58" spans="1:12">
      <c r="L58" s="108"/>
    </row>
    <row r="59" spans="1:12">
      <c r="L59" s="108" t="e">
        <f>#REF!/#REF!</f>
        <v>#REF!</v>
      </c>
    </row>
    <row r="60" spans="1:12">
      <c r="L60" s="108"/>
    </row>
    <row r="61" spans="1:12">
      <c r="L61" s="108"/>
    </row>
    <row r="62" spans="1:12">
      <c r="L62" s="108"/>
    </row>
    <row r="63" spans="1:12">
      <c r="L63" s="108"/>
    </row>
    <row r="64" spans="1:12">
      <c r="L64" s="108"/>
    </row>
    <row r="65" spans="12:12">
      <c r="L65" s="108"/>
    </row>
    <row r="66" spans="12:12">
      <c r="L66" s="108"/>
    </row>
    <row r="67" spans="12:12">
      <c r="L67" s="108"/>
    </row>
    <row r="68" spans="12:12">
      <c r="L68" s="108"/>
    </row>
    <row r="69" spans="12:12">
      <c r="L69" s="108"/>
    </row>
    <row r="70" spans="12:12">
      <c r="L70" s="108"/>
    </row>
    <row r="71" spans="12:12">
      <c r="L71" s="108"/>
    </row>
    <row r="72" spans="12:12">
      <c r="L72" s="108"/>
    </row>
    <row r="73" spans="12:12">
      <c r="L73" s="108"/>
    </row>
    <row r="74" spans="12:12">
      <c r="L74" s="108"/>
    </row>
    <row r="75" spans="12:12">
      <c r="L75" s="108"/>
    </row>
    <row r="76" spans="12:12">
      <c r="L76" s="108"/>
    </row>
    <row r="77" spans="12:12">
      <c r="L77" s="108"/>
    </row>
    <row r="78" spans="12:12">
      <c r="L78" s="108"/>
    </row>
    <row r="79" spans="12:12">
      <c r="L79" s="108"/>
    </row>
    <row r="80" spans="12:12">
      <c r="L80" s="108"/>
    </row>
    <row r="81" spans="12:12">
      <c r="L81" s="108"/>
    </row>
    <row r="82" spans="12:12">
      <c r="L82" s="108"/>
    </row>
    <row r="83" spans="12:12">
      <c r="L83" s="108"/>
    </row>
    <row r="84" spans="12:12">
      <c r="L84" s="108"/>
    </row>
  </sheetData>
  <mergeCells count="4">
    <mergeCell ref="B1:K1"/>
    <mergeCell ref="G7:I7"/>
    <mergeCell ref="B7:F7"/>
    <mergeCell ref="D56:F56"/>
  </mergeCells>
  <printOptions horizontalCentered="1" gridLines="1"/>
  <pageMargins left="0.78740157480314965" right="1.7716535433070868" top="0.98425196850393704" bottom="0.78740157480314965" header="0.31496062992125984" footer="0.31496062992125984"/>
  <pageSetup paperSize="9" scale="67" fitToWidth="0" orientation="landscape" r:id="rId1"/>
  <headerFooter>
    <oddFooter>&amp;RPágina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topLeftCell="A198" zoomScaleNormal="100" workbookViewId="0">
      <selection activeCell="A19" sqref="A19:XFD25"/>
    </sheetView>
  </sheetViews>
  <sheetFormatPr defaultColWidth="9.140625" defaultRowHeight="12.75" outlineLevelRow="1"/>
  <cols>
    <col min="1" max="1" width="6.28515625" style="50" customWidth="1"/>
    <col min="2" max="2" width="14.42578125" style="11" customWidth="1"/>
    <col min="3" max="3" width="13.85546875" style="51" customWidth="1"/>
    <col min="4" max="4" width="67.7109375" style="74" customWidth="1"/>
    <col min="5" max="5" width="8.7109375" style="11" customWidth="1"/>
    <col min="6" max="6" width="8.85546875" style="52" customWidth="1"/>
    <col min="7" max="7" width="10.42578125" style="40" bestFit="1" customWidth="1"/>
    <col min="8" max="8" width="7.28515625" style="53" hidden="1" customWidth="1"/>
    <col min="9" max="9" width="9.85546875" style="53" customWidth="1"/>
    <col min="10" max="10" width="12.7109375" style="54" customWidth="1"/>
    <col min="11" max="11" width="9.5703125" style="54" customWidth="1"/>
    <col min="12" max="12" width="14.7109375" style="11" customWidth="1"/>
    <col min="13" max="13" width="12.7109375" style="11" bestFit="1" customWidth="1"/>
    <col min="14" max="14" width="10.42578125" style="11" bestFit="1" customWidth="1"/>
    <col min="15" max="16384" width="9.140625" style="11"/>
  </cols>
  <sheetData>
    <row r="1" spans="1:12">
      <c r="A1" s="3"/>
      <c r="B1" s="4"/>
      <c r="C1" s="5"/>
      <c r="D1" s="69"/>
      <c r="E1" s="4"/>
      <c r="F1" s="6"/>
      <c r="G1" s="7"/>
      <c r="H1" s="8"/>
      <c r="I1" s="8"/>
      <c r="J1" s="9"/>
      <c r="K1" s="10"/>
    </row>
    <row r="2" spans="1:12" ht="17.25" customHeight="1">
      <c r="A2" s="12" t="s">
        <v>91</v>
      </c>
      <c r="B2" s="13"/>
      <c r="C2" s="14"/>
      <c r="D2" s="70"/>
      <c r="E2" s="14"/>
      <c r="F2" s="15"/>
      <c r="G2" s="16"/>
      <c r="H2" s="17"/>
      <c r="I2" s="17"/>
      <c r="J2" s="14"/>
      <c r="K2" s="18"/>
    </row>
    <row r="3" spans="1:12" ht="21" customHeight="1">
      <c r="A3" s="12" t="s">
        <v>218</v>
      </c>
      <c r="B3" s="1"/>
      <c r="C3" s="1"/>
      <c r="D3" s="71"/>
      <c r="E3" s="1"/>
      <c r="F3" s="19"/>
      <c r="G3" s="20"/>
      <c r="H3" s="21"/>
      <c r="I3" s="21"/>
      <c r="J3" s="1"/>
      <c r="K3" s="22"/>
    </row>
    <row r="4" spans="1:12" ht="15.75" customHeight="1">
      <c r="A4" s="23" t="s">
        <v>181</v>
      </c>
      <c r="B4" s="13"/>
      <c r="C4" s="1"/>
      <c r="D4" s="71"/>
      <c r="E4" s="1"/>
      <c r="F4" s="19"/>
      <c r="G4" s="20"/>
      <c r="H4" s="21"/>
      <c r="I4" s="21"/>
      <c r="J4" s="1"/>
      <c r="K4" s="22"/>
    </row>
    <row r="5" spans="1:12" ht="6.6" customHeight="1">
      <c r="A5" s="24"/>
      <c r="B5" s="13"/>
      <c r="C5" s="1"/>
      <c r="D5" s="71"/>
      <c r="E5" s="25"/>
      <c r="F5" s="26"/>
      <c r="G5" s="27"/>
      <c r="H5" s="28"/>
      <c r="I5" s="28"/>
      <c r="J5" s="29"/>
      <c r="K5" s="30"/>
    </row>
    <row r="6" spans="1:12" ht="16.899999999999999" customHeight="1">
      <c r="A6" s="262" t="s">
        <v>52</v>
      </c>
      <c r="B6" s="263"/>
      <c r="C6" s="263"/>
      <c r="D6" s="263"/>
      <c r="E6" s="263"/>
      <c r="F6" s="263"/>
      <c r="G6" s="263"/>
      <c r="H6" s="263"/>
      <c r="I6" s="263"/>
      <c r="J6" s="263"/>
      <c r="K6" s="264"/>
    </row>
    <row r="7" spans="1:12" ht="13.5" thickBot="1">
      <c r="A7" s="31"/>
      <c r="B7" s="32"/>
      <c r="C7" s="33"/>
      <c r="D7" s="72"/>
      <c r="E7" s="277" t="s">
        <v>183</v>
      </c>
      <c r="F7" s="277"/>
      <c r="G7" s="277"/>
      <c r="H7" s="277"/>
      <c r="I7" s="277"/>
      <c r="J7" s="277"/>
      <c r="K7" s="278"/>
    </row>
    <row r="8" spans="1:12">
      <c r="A8" s="265" t="s">
        <v>4</v>
      </c>
      <c r="B8" s="265" t="s">
        <v>44</v>
      </c>
      <c r="C8" s="273" t="s">
        <v>45</v>
      </c>
      <c r="D8" s="265" t="s">
        <v>46</v>
      </c>
      <c r="E8" s="265" t="s">
        <v>47</v>
      </c>
      <c r="F8" s="275" t="s">
        <v>48</v>
      </c>
      <c r="G8" s="269" t="s">
        <v>83</v>
      </c>
      <c r="H8" s="267" t="s">
        <v>49</v>
      </c>
      <c r="I8" s="267" t="s">
        <v>50</v>
      </c>
      <c r="J8" s="269" t="s">
        <v>51</v>
      </c>
      <c r="K8" s="271" t="s">
        <v>7</v>
      </c>
    </row>
    <row r="9" spans="1:12">
      <c r="A9" s="266"/>
      <c r="B9" s="266"/>
      <c r="C9" s="274"/>
      <c r="D9" s="266"/>
      <c r="E9" s="266"/>
      <c r="F9" s="276"/>
      <c r="G9" s="270"/>
      <c r="H9" s="268"/>
      <c r="I9" s="268"/>
      <c r="J9" s="270"/>
      <c r="K9" s="272"/>
    </row>
    <row r="10" spans="1:12">
      <c r="A10" s="34">
        <v>1</v>
      </c>
      <c r="B10" s="57" t="s">
        <v>74</v>
      </c>
      <c r="C10" s="60" t="s">
        <v>28</v>
      </c>
      <c r="D10" s="68" t="s">
        <v>32</v>
      </c>
      <c r="E10" s="57" t="s">
        <v>19</v>
      </c>
      <c r="F10" s="58" t="s">
        <v>20</v>
      </c>
      <c r="G10" s="59"/>
      <c r="H10" s="48"/>
      <c r="I10" s="48">
        <f>SUM(I11)</f>
        <v>0</v>
      </c>
      <c r="J10" s="49">
        <f>SUM(J11)</f>
        <v>218.54</v>
      </c>
      <c r="K10" s="49">
        <f>TRUNC((J10+I10),2)</f>
        <v>218.54</v>
      </c>
    </row>
    <row r="11" spans="1:12" ht="25.5" outlineLevel="1">
      <c r="A11" s="38"/>
      <c r="B11" s="57" t="s">
        <v>87</v>
      </c>
      <c r="C11" s="60" t="s">
        <v>28</v>
      </c>
      <c r="D11" s="68" t="s">
        <v>40</v>
      </c>
      <c r="E11" s="57" t="s">
        <v>19</v>
      </c>
      <c r="F11" s="58">
        <v>1</v>
      </c>
      <c r="G11" s="59">
        <v>218.54</v>
      </c>
      <c r="H11" s="48"/>
      <c r="I11" s="48">
        <v>0</v>
      </c>
      <c r="J11" s="49">
        <f>TRUNC((G11*F11),2)</f>
        <v>218.54</v>
      </c>
      <c r="K11" s="49"/>
    </row>
    <row r="12" spans="1:12" outlineLevel="1">
      <c r="A12" s="197"/>
      <c r="B12" s="55"/>
      <c r="C12" s="63" t="s">
        <v>219</v>
      </c>
      <c r="D12" s="280" t="s">
        <v>220</v>
      </c>
      <c r="E12" s="55"/>
      <c r="F12" s="64"/>
      <c r="G12" s="67"/>
      <c r="H12" s="220"/>
      <c r="I12" s="220"/>
      <c r="J12" s="56"/>
      <c r="K12" s="56"/>
    </row>
    <row r="13" spans="1:12" outlineLevel="1">
      <c r="A13" s="190"/>
      <c r="B13" s="42"/>
      <c r="C13" s="43"/>
      <c r="D13" s="73"/>
      <c r="E13" s="42"/>
      <c r="F13" s="44"/>
      <c r="G13" s="45"/>
      <c r="H13" s="46"/>
      <c r="I13" s="46"/>
      <c r="J13" s="47"/>
      <c r="K13" s="47"/>
    </row>
    <row r="14" spans="1:12" ht="25.5">
      <c r="A14" s="34">
        <v>2</v>
      </c>
      <c r="B14" s="57" t="s">
        <v>18</v>
      </c>
      <c r="C14" s="60" t="s">
        <v>73</v>
      </c>
      <c r="D14" s="68" t="s">
        <v>221</v>
      </c>
      <c r="E14" s="57" t="s">
        <v>19</v>
      </c>
      <c r="F14" s="58"/>
      <c r="G14" s="59"/>
      <c r="H14" s="48"/>
      <c r="I14" s="48">
        <f>SUM(I15:I16)</f>
        <v>137.91</v>
      </c>
      <c r="J14" s="49">
        <f>SUM(J15:J16)</f>
        <v>15.51</v>
      </c>
      <c r="K14" s="49">
        <f>TRUNC((J14+I14),2)</f>
        <v>153.41999999999999</v>
      </c>
    </row>
    <row r="15" spans="1:12" ht="51" outlineLevel="1">
      <c r="A15" s="39"/>
      <c r="B15" s="57" t="s">
        <v>21</v>
      </c>
      <c r="C15" s="60">
        <v>93402</v>
      </c>
      <c r="D15" s="68" t="s">
        <v>79</v>
      </c>
      <c r="E15" s="57" t="s">
        <v>22</v>
      </c>
      <c r="F15" s="58">
        <v>1</v>
      </c>
      <c r="G15" s="59">
        <v>137.91</v>
      </c>
      <c r="H15" s="48"/>
      <c r="I15" s="48">
        <f>TRUNC((G15*F15),2)</f>
        <v>137.91</v>
      </c>
      <c r="J15" s="49"/>
      <c r="K15" s="49"/>
      <c r="L15" s="54"/>
    </row>
    <row r="16" spans="1:12" outlineLevel="1">
      <c r="A16" s="39"/>
      <c r="B16" s="57" t="s">
        <v>21</v>
      </c>
      <c r="C16" s="60">
        <v>88247</v>
      </c>
      <c r="D16" s="68" t="s">
        <v>24</v>
      </c>
      <c r="E16" s="57" t="s">
        <v>17</v>
      </c>
      <c r="F16" s="58">
        <v>1</v>
      </c>
      <c r="G16" s="59">
        <v>15.51</v>
      </c>
      <c r="H16" s="48"/>
      <c r="I16" s="48">
        <v>0</v>
      </c>
      <c r="J16" s="49">
        <f>TRUNC((G16*F16),2)</f>
        <v>15.51</v>
      </c>
      <c r="K16" s="49"/>
    </row>
    <row r="17" spans="1:11" outlineLevel="1">
      <c r="A17" s="41"/>
      <c r="B17" s="42"/>
      <c r="C17" s="43"/>
      <c r="D17" s="73"/>
      <c r="E17" s="42"/>
      <c r="F17" s="44"/>
      <c r="G17" s="45"/>
      <c r="H17" s="46"/>
      <c r="I17" s="46"/>
      <c r="J17" s="47"/>
      <c r="K17" s="47"/>
    </row>
    <row r="18" spans="1:11" outlineLevel="1">
      <c r="A18" s="34">
        <v>3</v>
      </c>
      <c r="B18" s="57" t="s">
        <v>59</v>
      </c>
      <c r="C18" s="57" t="s">
        <v>78</v>
      </c>
      <c r="D18" s="68" t="s">
        <v>60</v>
      </c>
      <c r="E18" s="57" t="s">
        <v>58</v>
      </c>
      <c r="F18" s="58" t="s">
        <v>20</v>
      </c>
      <c r="G18" s="59"/>
      <c r="H18" s="48"/>
      <c r="I18" s="48">
        <f>SUM(I19:I25)</f>
        <v>523.6</v>
      </c>
      <c r="J18" s="49">
        <f>SUM(J19:J25)</f>
        <v>50.6</v>
      </c>
      <c r="K18" s="49">
        <f>TRUNC((J18+I18),2)</f>
        <v>574.20000000000005</v>
      </c>
    </row>
    <row r="19" spans="1:11" hidden="1" outlineLevel="1">
      <c r="A19" s="197"/>
      <c r="B19" s="57" t="s">
        <v>21</v>
      </c>
      <c r="C19" s="57" t="s">
        <v>55</v>
      </c>
      <c r="D19" s="68" t="s">
        <v>56</v>
      </c>
      <c r="E19" s="57" t="s">
        <v>17</v>
      </c>
      <c r="F19" s="58">
        <v>1</v>
      </c>
      <c r="G19" s="59">
        <v>19.34</v>
      </c>
      <c r="H19" s="48"/>
      <c r="I19" s="48">
        <v>0</v>
      </c>
      <c r="J19" s="49">
        <f t="shared" ref="J19:J20" si="0">TRUNC((G19*F19),2)</f>
        <v>19.34</v>
      </c>
      <c r="K19" s="49"/>
    </row>
    <row r="20" spans="1:11" hidden="1" outlineLevel="1">
      <c r="A20" s="197"/>
      <c r="B20" s="57" t="s">
        <v>21</v>
      </c>
      <c r="C20" s="57" t="s">
        <v>39</v>
      </c>
      <c r="D20" s="68" t="s">
        <v>23</v>
      </c>
      <c r="E20" s="57" t="s">
        <v>17</v>
      </c>
      <c r="F20" s="58">
        <v>2</v>
      </c>
      <c r="G20" s="59">
        <v>15.63</v>
      </c>
      <c r="H20" s="48"/>
      <c r="I20" s="48">
        <v>0</v>
      </c>
      <c r="J20" s="49">
        <f t="shared" si="0"/>
        <v>31.26</v>
      </c>
      <c r="K20" s="49"/>
    </row>
    <row r="21" spans="1:11" ht="26.45" hidden="1" customHeight="1" outlineLevel="1">
      <c r="A21" s="197"/>
      <c r="B21" s="57" t="s">
        <v>21</v>
      </c>
      <c r="C21" s="57" t="s">
        <v>61</v>
      </c>
      <c r="D21" s="68" t="s">
        <v>62</v>
      </c>
      <c r="E21" s="57" t="s">
        <v>54</v>
      </c>
      <c r="F21" s="58">
        <v>1.0200000000000001E-2</v>
      </c>
      <c r="G21" s="59">
        <v>259.06</v>
      </c>
      <c r="H21" s="48"/>
      <c r="I21" s="48">
        <f t="shared" ref="I21:I25" si="1">TRUNC((G21*F21),2)</f>
        <v>2.64</v>
      </c>
      <c r="J21" s="49">
        <v>0</v>
      </c>
      <c r="K21" s="49"/>
    </row>
    <row r="22" spans="1:11" ht="25.5" hidden="1" outlineLevel="1">
      <c r="A22" s="197"/>
      <c r="B22" s="57" t="s">
        <v>26</v>
      </c>
      <c r="C22" s="57" t="s">
        <v>63</v>
      </c>
      <c r="D22" s="68" t="s">
        <v>64</v>
      </c>
      <c r="E22" s="57" t="s">
        <v>1</v>
      </c>
      <c r="F22" s="58">
        <v>1</v>
      </c>
      <c r="G22" s="59">
        <v>2.69</v>
      </c>
      <c r="H22" s="48"/>
      <c r="I22" s="48">
        <f t="shared" si="1"/>
        <v>2.69</v>
      </c>
      <c r="J22" s="49">
        <v>0</v>
      </c>
      <c r="K22" s="49"/>
    </row>
    <row r="23" spans="1:11" ht="25.5" hidden="1" outlineLevel="1">
      <c r="A23" s="197"/>
      <c r="B23" s="57" t="s">
        <v>26</v>
      </c>
      <c r="C23" s="57" t="s">
        <v>65</v>
      </c>
      <c r="D23" s="68" t="s">
        <v>66</v>
      </c>
      <c r="E23" s="57" t="s">
        <v>1</v>
      </c>
      <c r="F23" s="58">
        <v>4</v>
      </c>
      <c r="G23" s="59">
        <v>4.33</v>
      </c>
      <c r="H23" s="48"/>
      <c r="I23" s="48">
        <f t="shared" si="1"/>
        <v>17.32</v>
      </c>
      <c r="J23" s="49">
        <v>0</v>
      </c>
      <c r="K23" s="49"/>
    </row>
    <row r="24" spans="1:11" ht="25.5" hidden="1" outlineLevel="1">
      <c r="A24" s="197"/>
      <c r="B24" s="57" t="s">
        <v>26</v>
      </c>
      <c r="C24" s="57" t="s">
        <v>67</v>
      </c>
      <c r="D24" s="68" t="s">
        <v>68</v>
      </c>
      <c r="E24" s="57" t="s">
        <v>58</v>
      </c>
      <c r="F24" s="58">
        <v>1</v>
      </c>
      <c r="G24" s="59">
        <v>500</v>
      </c>
      <c r="H24" s="48"/>
      <c r="I24" s="48">
        <f t="shared" si="1"/>
        <v>500</v>
      </c>
      <c r="J24" s="49">
        <v>0</v>
      </c>
      <c r="K24" s="49"/>
    </row>
    <row r="25" spans="1:11" hidden="1" outlineLevel="1">
      <c r="A25" s="197"/>
      <c r="B25" s="57" t="s">
        <v>26</v>
      </c>
      <c r="C25" s="57" t="s">
        <v>69</v>
      </c>
      <c r="D25" s="68" t="s">
        <v>70</v>
      </c>
      <c r="E25" s="57" t="s">
        <v>57</v>
      </c>
      <c r="F25" s="58">
        <v>0.104</v>
      </c>
      <c r="G25" s="59">
        <v>9.15</v>
      </c>
      <c r="H25" s="48"/>
      <c r="I25" s="48">
        <f t="shared" si="1"/>
        <v>0.95</v>
      </c>
      <c r="J25" s="49">
        <v>0</v>
      </c>
      <c r="K25" s="49"/>
    </row>
    <row r="26" spans="1:11" outlineLevel="1">
      <c r="A26" s="197"/>
      <c r="B26" s="55"/>
      <c r="C26" s="63"/>
      <c r="D26" s="75"/>
      <c r="E26" s="55"/>
      <c r="F26" s="64"/>
      <c r="G26" s="67"/>
      <c r="H26" s="220"/>
      <c r="I26" s="220"/>
      <c r="J26" s="56"/>
      <c r="K26" s="56"/>
    </row>
    <row r="27" spans="1:11" ht="51" outlineLevel="1">
      <c r="A27" s="34">
        <v>4</v>
      </c>
      <c r="B27" s="191" t="s">
        <v>84</v>
      </c>
      <c r="C27" s="192" t="s">
        <v>85</v>
      </c>
      <c r="D27" s="193" t="s">
        <v>106</v>
      </c>
      <c r="E27" s="191" t="s">
        <v>86</v>
      </c>
      <c r="F27" s="194" t="s">
        <v>20</v>
      </c>
      <c r="G27" s="188"/>
      <c r="H27" s="188"/>
      <c r="I27" s="49">
        <f>SUM(I28:I28)</f>
        <v>394.53</v>
      </c>
      <c r="J27" s="49">
        <f>SUM(J28:J28)</f>
        <v>0</v>
      </c>
      <c r="K27" s="49">
        <f>J27+I27</f>
        <v>394.53</v>
      </c>
    </row>
    <row r="28" spans="1:11" ht="25.5" hidden="1" outlineLevel="1">
      <c r="A28" s="189"/>
      <c r="B28" s="57" t="s">
        <v>26</v>
      </c>
      <c r="C28" s="60" t="s">
        <v>107</v>
      </c>
      <c r="D28" s="68" t="s">
        <v>108</v>
      </c>
      <c r="E28" s="57" t="s">
        <v>109</v>
      </c>
      <c r="F28" s="58">
        <v>1</v>
      </c>
      <c r="G28" s="49">
        <v>394.53</v>
      </c>
      <c r="H28" s="49"/>
      <c r="I28" s="48">
        <f t="shared" ref="I28" si="2">TRUNC((G28*F28),2)</f>
        <v>394.53</v>
      </c>
      <c r="J28" s="49">
        <v>0</v>
      </c>
      <c r="K28" s="49"/>
    </row>
    <row r="29" spans="1:11" outlineLevel="1">
      <c r="A29" s="197"/>
      <c r="B29" s="55"/>
      <c r="C29" s="63"/>
      <c r="D29" s="186"/>
      <c r="E29" s="55"/>
      <c r="F29" s="187"/>
      <c r="G29" s="56"/>
      <c r="H29" s="56"/>
      <c r="I29" s="46"/>
      <c r="J29" s="47"/>
      <c r="K29" s="56"/>
    </row>
    <row r="30" spans="1:11" ht="38.25" outlineLevel="1">
      <c r="A30" s="62">
        <v>5</v>
      </c>
      <c r="B30" s="57" t="s">
        <v>27</v>
      </c>
      <c r="C30" s="60" t="s">
        <v>80</v>
      </c>
      <c r="D30" s="184" t="s">
        <v>110</v>
      </c>
      <c r="E30" s="57" t="s">
        <v>17</v>
      </c>
      <c r="F30" s="185" t="s">
        <v>20</v>
      </c>
      <c r="G30" s="49"/>
      <c r="H30" s="188"/>
      <c r="I30" s="188">
        <f>SUM(I31:I33)</f>
        <v>123.59</v>
      </c>
      <c r="J30" s="188">
        <f>SUM(J31:J33)</f>
        <v>35.800000000000004</v>
      </c>
      <c r="K30" s="49">
        <f>J30+I30</f>
        <v>159.39000000000001</v>
      </c>
    </row>
    <row r="31" spans="1:11" outlineLevel="1">
      <c r="A31" s="39"/>
      <c r="B31" s="57" t="s">
        <v>21</v>
      </c>
      <c r="C31" s="60" t="s">
        <v>39</v>
      </c>
      <c r="D31" s="184" t="s">
        <v>23</v>
      </c>
      <c r="E31" s="57" t="s">
        <v>17</v>
      </c>
      <c r="F31" s="185">
        <v>1</v>
      </c>
      <c r="G31" s="49">
        <v>15.63</v>
      </c>
      <c r="H31" s="49"/>
      <c r="I31" s="49">
        <v>0</v>
      </c>
      <c r="J31" s="37">
        <f t="shared" ref="J31:J32" si="3">TRUNC((G31*F31),2)</f>
        <v>15.63</v>
      </c>
      <c r="K31" s="49"/>
    </row>
    <row r="32" spans="1:11" outlineLevel="1">
      <c r="A32" s="39"/>
      <c r="B32" s="35" t="s">
        <v>21</v>
      </c>
      <c r="C32" s="60" t="s">
        <v>37</v>
      </c>
      <c r="D32" s="68" t="s">
        <v>25</v>
      </c>
      <c r="E32" s="57" t="s">
        <v>17</v>
      </c>
      <c r="F32" s="185">
        <v>1</v>
      </c>
      <c r="G32" s="59">
        <v>20.170000000000002</v>
      </c>
      <c r="H32" s="61"/>
      <c r="I32" s="36">
        <v>0</v>
      </c>
      <c r="J32" s="37">
        <f t="shared" si="3"/>
        <v>20.170000000000002</v>
      </c>
      <c r="K32" s="61"/>
    </row>
    <row r="33" spans="1:11" ht="51" outlineLevel="1">
      <c r="A33" s="39"/>
      <c r="B33" s="57" t="s">
        <v>21</v>
      </c>
      <c r="C33" s="60" t="s">
        <v>81</v>
      </c>
      <c r="D33" s="184" t="s">
        <v>82</v>
      </c>
      <c r="E33" s="57" t="s">
        <v>22</v>
      </c>
      <c r="F33" s="185">
        <v>1</v>
      </c>
      <c r="G33" s="49">
        <v>123.59</v>
      </c>
      <c r="H33" s="49"/>
      <c r="I33" s="36">
        <f t="shared" ref="I33" si="4">TRUNC((G33*F33),2)</f>
        <v>123.59</v>
      </c>
      <c r="J33" s="49">
        <v>0</v>
      </c>
      <c r="K33" s="49"/>
    </row>
    <row r="34" spans="1:11" outlineLevel="1">
      <c r="A34" s="197"/>
      <c r="B34" s="55"/>
      <c r="C34" s="63"/>
      <c r="D34" s="186"/>
      <c r="E34" s="55"/>
      <c r="F34" s="187"/>
      <c r="G34" s="56"/>
      <c r="H34" s="56"/>
      <c r="I34" s="46"/>
      <c r="J34" s="56"/>
      <c r="K34" s="56"/>
    </row>
    <row r="35" spans="1:11" ht="38.25" outlineLevel="1">
      <c r="A35" s="66">
        <v>6</v>
      </c>
      <c r="B35" s="191" t="s">
        <v>27</v>
      </c>
      <c r="C35" s="60">
        <v>91926</v>
      </c>
      <c r="D35" s="221" t="s">
        <v>173</v>
      </c>
      <c r="E35" s="191" t="s">
        <v>1</v>
      </c>
      <c r="F35" s="222" t="s">
        <v>20</v>
      </c>
      <c r="G35" s="223"/>
      <c r="H35" s="224"/>
      <c r="I35" s="224">
        <f>SUM(I36:I39)</f>
        <v>1.46</v>
      </c>
      <c r="J35" s="188">
        <f>SUM(J36:J39)</f>
        <v>1.06</v>
      </c>
      <c r="K35" s="49">
        <f>TRUNC((J35+I35),2)</f>
        <v>2.52</v>
      </c>
    </row>
    <row r="36" spans="1:11" hidden="1" outlineLevel="1">
      <c r="A36" s="54"/>
      <c r="B36" s="57" t="s">
        <v>21</v>
      </c>
      <c r="C36" s="57" t="s">
        <v>38</v>
      </c>
      <c r="D36" s="68" t="s">
        <v>24</v>
      </c>
      <c r="E36" s="57" t="s">
        <v>17</v>
      </c>
      <c r="F36" s="58">
        <v>0.03</v>
      </c>
      <c r="G36" s="59">
        <v>15.51</v>
      </c>
      <c r="H36" s="48"/>
      <c r="I36" s="48">
        <v>0</v>
      </c>
      <c r="J36" s="49">
        <f t="shared" ref="J36:J37" si="5">TRUNC((G36*F36),2)</f>
        <v>0.46</v>
      </c>
      <c r="K36" s="49"/>
    </row>
    <row r="37" spans="1:11" hidden="1" outlineLevel="1">
      <c r="A37" s="54"/>
      <c r="B37" s="57" t="s">
        <v>21</v>
      </c>
      <c r="C37" s="57" t="s">
        <v>37</v>
      </c>
      <c r="D37" s="68" t="s">
        <v>25</v>
      </c>
      <c r="E37" s="57" t="s">
        <v>17</v>
      </c>
      <c r="F37" s="58">
        <v>0.03</v>
      </c>
      <c r="G37" s="59">
        <v>20.170000000000002</v>
      </c>
      <c r="H37" s="48"/>
      <c r="I37" s="48">
        <v>0</v>
      </c>
      <c r="J37" s="49">
        <f t="shared" si="5"/>
        <v>0.6</v>
      </c>
      <c r="K37" s="49"/>
    </row>
    <row r="38" spans="1:11" ht="25.5" hidden="1" outlineLevel="1">
      <c r="A38" s="54"/>
      <c r="B38" s="57" t="s">
        <v>26</v>
      </c>
      <c r="C38" s="57">
        <v>1014</v>
      </c>
      <c r="D38" s="68" t="s">
        <v>174</v>
      </c>
      <c r="E38" s="57" t="s">
        <v>1</v>
      </c>
      <c r="F38" s="58">
        <v>1.19</v>
      </c>
      <c r="G38" s="59">
        <v>1.21</v>
      </c>
      <c r="H38" s="48"/>
      <c r="I38" s="48">
        <f t="shared" ref="I38:I39" si="6">TRUNC((G38*F38),2)</f>
        <v>1.43</v>
      </c>
      <c r="J38" s="49">
        <v>0</v>
      </c>
      <c r="K38" s="57"/>
    </row>
    <row r="39" spans="1:11" ht="25.5" hidden="1" outlineLevel="1">
      <c r="A39" s="54"/>
      <c r="B39" s="57" t="s">
        <v>26</v>
      </c>
      <c r="C39" s="57" t="s">
        <v>41</v>
      </c>
      <c r="D39" s="68" t="s">
        <v>42</v>
      </c>
      <c r="E39" s="57" t="s">
        <v>19</v>
      </c>
      <c r="F39" s="58">
        <v>8.9999999999999993E-3</v>
      </c>
      <c r="G39" s="59">
        <v>3.4</v>
      </c>
      <c r="H39" s="48"/>
      <c r="I39" s="48">
        <f t="shared" si="6"/>
        <v>0.03</v>
      </c>
      <c r="J39" s="49">
        <v>0</v>
      </c>
      <c r="K39" s="57"/>
    </row>
    <row r="40" spans="1:11" outlineLevel="1">
      <c r="A40" s="197"/>
      <c r="B40" s="55"/>
      <c r="C40" s="63"/>
      <c r="D40" s="186"/>
      <c r="E40" s="55"/>
      <c r="F40" s="187"/>
      <c r="G40" s="56"/>
      <c r="H40" s="56"/>
      <c r="I40" s="46"/>
      <c r="J40" s="56"/>
      <c r="K40" s="56"/>
    </row>
    <row r="41" spans="1:11" ht="51" outlineLevel="1">
      <c r="A41" s="62">
        <v>7</v>
      </c>
      <c r="B41" s="57" t="s">
        <v>27</v>
      </c>
      <c r="C41" s="60" t="s">
        <v>73</v>
      </c>
      <c r="D41" s="184" t="s">
        <v>96</v>
      </c>
      <c r="E41" s="57" t="s">
        <v>19</v>
      </c>
      <c r="F41" s="185" t="s">
        <v>20</v>
      </c>
      <c r="G41" s="49"/>
      <c r="H41" s="188"/>
      <c r="I41" s="188">
        <f>SUM(I42:I48)</f>
        <v>362.72</v>
      </c>
      <c r="J41" s="188">
        <f>SUM(J42:J48)</f>
        <v>159.39000000000001</v>
      </c>
      <c r="K41" s="49">
        <f>J41+I41</f>
        <v>522.11</v>
      </c>
    </row>
    <row r="42" spans="1:11" outlineLevel="1">
      <c r="A42" s="39"/>
      <c r="B42" s="57" t="s">
        <v>21</v>
      </c>
      <c r="C42" s="60" t="s">
        <v>39</v>
      </c>
      <c r="D42" s="184" t="s">
        <v>23</v>
      </c>
      <c r="E42" s="57" t="s">
        <v>17</v>
      </c>
      <c r="F42" s="185">
        <v>1</v>
      </c>
      <c r="G42" s="49">
        <v>15.63</v>
      </c>
      <c r="H42" s="49"/>
      <c r="I42" s="49">
        <v>0</v>
      </c>
      <c r="J42" s="37">
        <f t="shared" ref="J42:J44" si="7">TRUNC((G42*F42),2)</f>
        <v>15.63</v>
      </c>
      <c r="K42" s="49"/>
    </row>
    <row r="43" spans="1:11" outlineLevel="1">
      <c r="A43" s="39"/>
      <c r="B43" s="35" t="s">
        <v>21</v>
      </c>
      <c r="C43" s="60" t="s">
        <v>37</v>
      </c>
      <c r="D43" s="68" t="s">
        <v>25</v>
      </c>
      <c r="E43" s="57" t="s">
        <v>17</v>
      </c>
      <c r="F43" s="185">
        <v>1</v>
      </c>
      <c r="G43" s="59">
        <v>20.170000000000002</v>
      </c>
      <c r="H43" s="61"/>
      <c r="I43" s="36">
        <v>0</v>
      </c>
      <c r="J43" s="37">
        <f t="shared" si="7"/>
        <v>20.170000000000002</v>
      </c>
      <c r="K43" s="61"/>
    </row>
    <row r="44" spans="1:11" ht="51" outlineLevel="1">
      <c r="A44" s="39"/>
      <c r="B44" s="57" t="s">
        <v>21</v>
      </c>
      <c r="C44" s="60" t="s">
        <v>81</v>
      </c>
      <c r="D44" s="184" t="s">
        <v>82</v>
      </c>
      <c r="E44" s="57" t="s">
        <v>22</v>
      </c>
      <c r="F44" s="185">
        <v>1</v>
      </c>
      <c r="G44" s="49">
        <v>123.59</v>
      </c>
      <c r="H44" s="49"/>
      <c r="I44" s="49">
        <v>0</v>
      </c>
      <c r="J44" s="37">
        <f t="shared" si="7"/>
        <v>123.59</v>
      </c>
      <c r="K44" s="49"/>
    </row>
    <row r="45" spans="1:11" ht="38.25" outlineLevel="1">
      <c r="A45" s="197"/>
      <c r="B45" s="57" t="s">
        <v>26</v>
      </c>
      <c r="C45" s="60" t="s">
        <v>28</v>
      </c>
      <c r="D45" s="184" t="s">
        <v>92</v>
      </c>
      <c r="E45" s="57" t="s">
        <v>19</v>
      </c>
      <c r="F45" s="185">
        <v>1</v>
      </c>
      <c r="G45" s="49">
        <v>305.35000000000002</v>
      </c>
      <c r="H45" s="49"/>
      <c r="I45" s="36">
        <f t="shared" ref="I45:I48" si="8">TRUNC((G45*F45),2)</f>
        <v>305.35000000000002</v>
      </c>
      <c r="J45" s="49">
        <v>0</v>
      </c>
      <c r="K45" s="49"/>
    </row>
    <row r="46" spans="1:11" ht="46.9" customHeight="1" outlineLevel="1">
      <c r="A46" s="197"/>
      <c r="B46" s="57" t="s">
        <v>26</v>
      </c>
      <c r="C46" s="60" t="s">
        <v>28</v>
      </c>
      <c r="D46" s="184" t="s">
        <v>95</v>
      </c>
      <c r="E46" s="57" t="s">
        <v>19</v>
      </c>
      <c r="F46" s="185">
        <v>2</v>
      </c>
      <c r="G46" s="49">
        <v>18.600000000000001</v>
      </c>
      <c r="H46" s="49"/>
      <c r="I46" s="36">
        <f t="shared" si="8"/>
        <v>37.200000000000003</v>
      </c>
      <c r="J46" s="49">
        <v>0</v>
      </c>
      <c r="K46" s="49"/>
    </row>
    <row r="47" spans="1:11" ht="25.5" outlineLevel="1">
      <c r="B47" s="57" t="s">
        <v>26</v>
      </c>
      <c r="C47" s="60">
        <v>436</v>
      </c>
      <c r="D47" s="184" t="s">
        <v>94</v>
      </c>
      <c r="E47" s="57" t="s">
        <v>19</v>
      </c>
      <c r="F47" s="185">
        <v>2</v>
      </c>
      <c r="G47" s="49">
        <v>4.46</v>
      </c>
      <c r="H47" s="49"/>
      <c r="I47" s="36">
        <f t="shared" si="8"/>
        <v>8.92</v>
      </c>
      <c r="J47" s="49">
        <v>0</v>
      </c>
      <c r="K47" s="49"/>
    </row>
    <row r="48" spans="1:11" ht="25.5" outlineLevel="1">
      <c r="B48" s="57" t="s">
        <v>26</v>
      </c>
      <c r="C48" s="60" t="s">
        <v>28</v>
      </c>
      <c r="D48" s="184" t="s">
        <v>93</v>
      </c>
      <c r="E48" s="57" t="s">
        <v>19</v>
      </c>
      <c r="F48" s="185">
        <v>1</v>
      </c>
      <c r="G48" s="49">
        <v>11.25</v>
      </c>
      <c r="H48" s="49"/>
      <c r="I48" s="36">
        <f t="shared" si="8"/>
        <v>11.25</v>
      </c>
      <c r="J48" s="49">
        <v>0</v>
      </c>
      <c r="K48" s="49"/>
    </row>
    <row r="49" spans="1:15" outlineLevel="1">
      <c r="B49" s="281"/>
      <c r="C49" s="282"/>
      <c r="D49" s="283" t="s">
        <v>223</v>
      </c>
      <c r="E49" s="282"/>
      <c r="F49" s="284"/>
      <c r="G49" s="285"/>
      <c r="H49" s="286"/>
      <c r="I49" s="286"/>
      <c r="J49" s="287"/>
      <c r="K49" s="288"/>
    </row>
    <row r="50" spans="1:15" outlineLevel="1">
      <c r="B50" s="55"/>
      <c r="C50" s="63"/>
      <c r="D50" s="186"/>
      <c r="E50" s="55"/>
      <c r="F50" s="187"/>
      <c r="G50" s="56"/>
      <c r="H50" s="56"/>
      <c r="I50" s="46"/>
      <c r="J50" s="56"/>
      <c r="K50" s="56"/>
    </row>
    <row r="51" spans="1:15" ht="63.75" outlineLevel="1">
      <c r="A51" s="66">
        <v>8</v>
      </c>
      <c r="B51" s="57" t="s">
        <v>27</v>
      </c>
      <c r="C51" s="60" t="s">
        <v>73</v>
      </c>
      <c r="D51" s="68" t="s">
        <v>182</v>
      </c>
      <c r="E51" s="57" t="s">
        <v>19</v>
      </c>
      <c r="F51" s="58" t="s">
        <v>20</v>
      </c>
      <c r="G51" s="59"/>
      <c r="H51" s="48"/>
      <c r="I51" s="218">
        <f>SUM(I52:I54)</f>
        <v>1050</v>
      </c>
      <c r="J51" s="219">
        <f>SUM(J52:J54)</f>
        <v>35.800000000000004</v>
      </c>
      <c r="K51" s="49">
        <f>TRUNC((J51+I51),2)</f>
        <v>1085.8</v>
      </c>
      <c r="M51" s="11" t="s">
        <v>88</v>
      </c>
      <c r="N51" s="11" t="s">
        <v>90</v>
      </c>
    </row>
    <row r="52" spans="1:15" outlineLevel="1">
      <c r="A52" s="39"/>
      <c r="B52" s="57" t="s">
        <v>21</v>
      </c>
      <c r="C52" s="57" t="s">
        <v>37</v>
      </c>
      <c r="D52" s="68" t="s">
        <v>25</v>
      </c>
      <c r="E52" s="57" t="s">
        <v>17</v>
      </c>
      <c r="F52" s="58">
        <v>1</v>
      </c>
      <c r="G52" s="59">
        <v>20.170000000000002</v>
      </c>
      <c r="H52" s="48"/>
      <c r="I52" s="48">
        <v>0</v>
      </c>
      <c r="J52" s="49">
        <f t="shared" ref="J52:J53" si="9">TRUNC((G52*F52),2)</f>
        <v>20.170000000000002</v>
      </c>
      <c r="K52" s="49"/>
      <c r="M52" s="196">
        <f>1084.29*1.15</f>
        <v>1246.9334999999999</v>
      </c>
      <c r="N52" s="196">
        <f>1136.3*1.15987</f>
        <v>1317.9602809999999</v>
      </c>
    </row>
    <row r="53" spans="1:15" outlineLevel="1">
      <c r="A53" s="39"/>
      <c r="B53" s="57" t="s">
        <v>21</v>
      </c>
      <c r="C53" s="57" t="s">
        <v>39</v>
      </c>
      <c r="D53" s="68" t="s">
        <v>23</v>
      </c>
      <c r="E53" s="57" t="s">
        <v>17</v>
      </c>
      <c r="F53" s="58">
        <v>1</v>
      </c>
      <c r="G53" s="59">
        <v>15.63</v>
      </c>
      <c r="H53" s="48"/>
      <c r="I53" s="48">
        <v>0</v>
      </c>
      <c r="J53" s="49">
        <f t="shared" si="9"/>
        <v>15.63</v>
      </c>
      <c r="K53" s="49"/>
      <c r="M53" s="11">
        <f>(M52+L52)/2</f>
        <v>623.46674999999993</v>
      </c>
      <c r="O53" s="11">
        <f>(M53+L53+N53)/3</f>
        <v>207.82224999999997</v>
      </c>
    </row>
    <row r="54" spans="1:15" ht="51" outlineLevel="1">
      <c r="A54" s="39"/>
      <c r="B54" s="57" t="s">
        <v>26</v>
      </c>
      <c r="C54" s="60" t="s">
        <v>28</v>
      </c>
      <c r="D54" s="68" t="s">
        <v>180</v>
      </c>
      <c r="E54" s="57" t="s">
        <v>19</v>
      </c>
      <c r="F54" s="58">
        <v>1</v>
      </c>
      <c r="G54" s="59">
        <v>1050</v>
      </c>
      <c r="H54" s="48"/>
      <c r="I54" s="48">
        <f t="shared" ref="I54" si="10">TRUNC((G54*F54),2)</f>
        <v>1050</v>
      </c>
      <c r="J54" s="49">
        <v>0</v>
      </c>
      <c r="K54" s="49"/>
    </row>
    <row r="55" spans="1:15" outlineLevel="1">
      <c r="A55" s="197"/>
      <c r="B55" s="281"/>
      <c r="C55" s="282"/>
      <c r="D55" s="283" t="s">
        <v>227</v>
      </c>
      <c r="E55" s="282"/>
      <c r="F55" s="284"/>
      <c r="G55" s="285"/>
      <c r="H55" s="286"/>
      <c r="I55" s="286"/>
      <c r="J55" s="287"/>
      <c r="K55" s="288"/>
    </row>
    <row r="56" spans="1:15" outlineLevel="1">
      <c r="A56" s="197"/>
      <c r="B56" s="55"/>
      <c r="C56" s="63"/>
      <c r="D56" s="75"/>
      <c r="E56" s="55"/>
      <c r="F56" s="64"/>
      <c r="G56" s="67"/>
      <c r="H56" s="65"/>
      <c r="I56" s="220"/>
      <c r="J56" s="56"/>
      <c r="K56" s="65"/>
    </row>
    <row r="57" spans="1:15" ht="127.5" outlineLevel="1">
      <c r="A57" s="66">
        <v>9</v>
      </c>
      <c r="B57" s="57" t="s">
        <v>27</v>
      </c>
      <c r="C57" s="60" t="s">
        <v>224</v>
      </c>
      <c r="D57" s="68" t="s">
        <v>225</v>
      </c>
      <c r="E57" s="57" t="s">
        <v>19</v>
      </c>
      <c r="F57" s="58" t="s">
        <v>20</v>
      </c>
      <c r="G57" s="59"/>
      <c r="H57" s="48"/>
      <c r="I57" s="218">
        <f>SUM(I58:I61)</f>
        <v>1898.59</v>
      </c>
      <c r="J57" s="219">
        <f>SUM(J58:J61)</f>
        <v>35.800000000000004</v>
      </c>
      <c r="K57" s="49">
        <f>TRUNC((J57+I57),2)</f>
        <v>1934.39</v>
      </c>
    </row>
    <row r="58" spans="1:15" outlineLevel="1">
      <c r="A58" s="39"/>
      <c r="B58" s="57" t="s">
        <v>21</v>
      </c>
      <c r="C58" s="57" t="s">
        <v>37</v>
      </c>
      <c r="D58" s="68" t="s">
        <v>25</v>
      </c>
      <c r="E58" s="57" t="s">
        <v>17</v>
      </c>
      <c r="F58" s="58">
        <v>1</v>
      </c>
      <c r="G58" s="59">
        <v>20.170000000000002</v>
      </c>
      <c r="H58" s="48"/>
      <c r="I58" s="48">
        <v>0</v>
      </c>
      <c r="J58" s="49">
        <f t="shared" ref="J58:J59" si="11">TRUNC((G58*F58),2)</f>
        <v>20.170000000000002</v>
      </c>
      <c r="K58" s="49"/>
    </row>
    <row r="59" spans="1:15">
      <c r="A59" s="39"/>
      <c r="B59" s="57" t="s">
        <v>21</v>
      </c>
      <c r="C59" s="57" t="s">
        <v>39</v>
      </c>
      <c r="D59" s="68" t="s">
        <v>23</v>
      </c>
      <c r="E59" s="57" t="s">
        <v>17</v>
      </c>
      <c r="F59" s="58">
        <v>1</v>
      </c>
      <c r="G59" s="59">
        <v>15.63</v>
      </c>
      <c r="H59" s="48"/>
      <c r="I59" s="48">
        <v>0</v>
      </c>
      <c r="J59" s="49">
        <f t="shared" si="11"/>
        <v>15.63</v>
      </c>
      <c r="K59" s="49"/>
    </row>
    <row r="60" spans="1:15" ht="51">
      <c r="A60" s="39"/>
      <c r="B60" s="57" t="s">
        <v>21</v>
      </c>
      <c r="C60" s="60" t="s">
        <v>81</v>
      </c>
      <c r="D60" s="184" t="s">
        <v>82</v>
      </c>
      <c r="E60" s="57" t="s">
        <v>22</v>
      </c>
      <c r="F60" s="185">
        <v>1</v>
      </c>
      <c r="G60" s="49">
        <v>123.59</v>
      </c>
      <c r="H60" s="48"/>
      <c r="I60" s="48">
        <f t="shared" ref="I60:I61" si="12">TRUNC((G60*F60),2)</f>
        <v>123.59</v>
      </c>
      <c r="J60" s="49"/>
      <c r="K60" s="49"/>
    </row>
    <row r="61" spans="1:15" ht="63.75">
      <c r="A61" s="39"/>
      <c r="B61" s="57" t="s">
        <v>26</v>
      </c>
      <c r="C61" s="60" t="s">
        <v>28</v>
      </c>
      <c r="D61" s="68" t="s">
        <v>226</v>
      </c>
      <c r="E61" s="57" t="s">
        <v>19</v>
      </c>
      <c r="F61" s="58">
        <v>1</v>
      </c>
      <c r="G61" s="59">
        <v>1775</v>
      </c>
      <c r="H61" s="48"/>
      <c r="I61" s="48">
        <f t="shared" si="12"/>
        <v>1775</v>
      </c>
      <c r="J61" s="49">
        <v>0</v>
      </c>
      <c r="K61" s="49"/>
    </row>
    <row r="62" spans="1:15">
      <c r="A62" s="197"/>
      <c r="B62" s="281"/>
      <c r="C62" s="282"/>
      <c r="D62" s="283" t="s">
        <v>227</v>
      </c>
      <c r="E62" s="282"/>
      <c r="F62" s="284"/>
      <c r="G62" s="285"/>
      <c r="H62" s="286"/>
      <c r="I62" s="286"/>
      <c r="J62" s="287"/>
      <c r="K62" s="288"/>
    </row>
    <row r="63" spans="1:15">
      <c r="A63" s="197"/>
      <c r="B63" s="282"/>
      <c r="C63" s="282"/>
      <c r="D63" s="283"/>
      <c r="E63" s="282"/>
      <c r="F63" s="284"/>
      <c r="G63" s="285"/>
      <c r="H63" s="286"/>
      <c r="I63" s="286"/>
      <c r="J63" s="287"/>
      <c r="K63" s="288"/>
    </row>
    <row r="64" spans="1:15">
      <c r="A64" s="259" t="s">
        <v>111</v>
      </c>
      <c r="B64" s="260"/>
      <c r="C64" s="260"/>
      <c r="D64" s="260"/>
      <c r="E64" s="260"/>
      <c r="F64" s="260"/>
      <c r="G64" s="260"/>
      <c r="H64" s="260"/>
      <c r="I64" s="260"/>
      <c r="J64" s="260"/>
      <c r="K64" s="261"/>
    </row>
    <row r="65" spans="1:11">
      <c r="A65" s="197"/>
      <c r="B65" s="55"/>
      <c r="C65" s="63"/>
      <c r="D65" s="75"/>
      <c r="E65" s="55"/>
      <c r="F65" s="64"/>
      <c r="G65" s="67"/>
      <c r="H65" s="220"/>
      <c r="I65" s="220"/>
      <c r="J65" s="56"/>
      <c r="K65" s="56"/>
    </row>
    <row r="66" spans="1:11" ht="25.5">
      <c r="A66" s="34">
        <v>10</v>
      </c>
      <c r="B66" s="191" t="s">
        <v>112</v>
      </c>
      <c r="C66" s="191" t="s">
        <v>113</v>
      </c>
      <c r="D66" s="221" t="s">
        <v>114</v>
      </c>
      <c r="E66" s="191" t="s">
        <v>54</v>
      </c>
      <c r="F66" s="222" t="s">
        <v>20</v>
      </c>
      <c r="G66" s="223"/>
      <c r="H66" s="224"/>
      <c r="I66" s="224">
        <f>SUM(I67)</f>
        <v>0</v>
      </c>
      <c r="J66" s="188">
        <f>SUM(J67)</f>
        <v>61.83</v>
      </c>
      <c r="K66" s="49">
        <f>TRUNC((J66+I66),2)</f>
        <v>61.83</v>
      </c>
    </row>
    <row r="67" spans="1:11" hidden="1">
      <c r="B67" s="57" t="s">
        <v>21</v>
      </c>
      <c r="C67" s="57" t="s">
        <v>39</v>
      </c>
      <c r="D67" s="68" t="s">
        <v>23</v>
      </c>
      <c r="E67" s="57" t="s">
        <v>17</v>
      </c>
      <c r="F67" s="58">
        <v>3.956</v>
      </c>
      <c r="G67" s="59">
        <v>15.63</v>
      </c>
      <c r="H67" s="48"/>
      <c r="I67" s="48">
        <v>0</v>
      </c>
      <c r="J67" s="49">
        <f>TRUNC((G67*F67),2)</f>
        <v>61.83</v>
      </c>
      <c r="K67" s="49"/>
    </row>
    <row r="69" spans="1:11">
      <c r="A69" s="34">
        <v>11</v>
      </c>
      <c r="B69" s="191" t="s">
        <v>112</v>
      </c>
      <c r="C69" s="192">
        <v>96995</v>
      </c>
      <c r="D69" s="221" t="s">
        <v>115</v>
      </c>
      <c r="E69" s="191" t="s">
        <v>54</v>
      </c>
      <c r="F69" s="222" t="s">
        <v>20</v>
      </c>
      <c r="G69" s="223"/>
      <c r="H69" s="224"/>
      <c r="I69" s="224">
        <f>SUM(I70:I70)</f>
        <v>0</v>
      </c>
      <c r="J69" s="188">
        <f>SUM(J70:J70)</f>
        <v>37.49</v>
      </c>
      <c r="K69" s="49">
        <f>TRUNC((J69+I69),2)</f>
        <v>37.49</v>
      </c>
    </row>
    <row r="70" spans="1:11" hidden="1">
      <c r="B70" s="57" t="s">
        <v>21</v>
      </c>
      <c r="C70" s="57">
        <v>88316</v>
      </c>
      <c r="D70" s="68" t="s">
        <v>23</v>
      </c>
      <c r="E70" s="57" t="s">
        <v>17</v>
      </c>
      <c r="F70" s="58">
        <v>2.3986999999999998</v>
      </c>
      <c r="G70" s="59">
        <v>15.63</v>
      </c>
      <c r="H70" s="48"/>
      <c r="I70" s="48">
        <v>0</v>
      </c>
      <c r="J70" s="49">
        <f>TRUNC((G70*F70),2)</f>
        <v>37.49</v>
      </c>
      <c r="K70" s="49"/>
    </row>
    <row r="72" spans="1:11" ht="38.25">
      <c r="A72" s="34">
        <v>12</v>
      </c>
      <c r="B72" s="191" t="s">
        <v>116</v>
      </c>
      <c r="C72" s="192">
        <v>94975</v>
      </c>
      <c r="D72" s="221" t="s">
        <v>117</v>
      </c>
      <c r="E72" s="191" t="s">
        <v>54</v>
      </c>
      <c r="F72" s="222" t="s">
        <v>20</v>
      </c>
      <c r="G72" s="223"/>
      <c r="H72" s="224"/>
      <c r="I72" s="224">
        <f>SUM(I73:I76)</f>
        <v>229.75</v>
      </c>
      <c r="J72" s="188">
        <f>SUM(J73:J76)</f>
        <v>156.61000000000001</v>
      </c>
      <c r="K72" s="49">
        <f>TRUNC((J72+I72),2)</f>
        <v>386.36</v>
      </c>
    </row>
    <row r="73" spans="1:11" hidden="1">
      <c r="B73" s="57" t="s">
        <v>21</v>
      </c>
      <c r="C73" s="57" t="s">
        <v>39</v>
      </c>
      <c r="D73" s="68" t="s">
        <v>23</v>
      </c>
      <c r="E73" s="57" t="s">
        <v>17</v>
      </c>
      <c r="F73" s="58">
        <v>10.02</v>
      </c>
      <c r="G73" s="59">
        <v>15.63</v>
      </c>
      <c r="H73" s="48"/>
      <c r="I73" s="48">
        <v>0</v>
      </c>
      <c r="J73" s="49">
        <f>TRUNC((G73*F73),2)</f>
        <v>156.61000000000001</v>
      </c>
      <c r="K73" s="49"/>
    </row>
    <row r="74" spans="1:11" ht="25.5" hidden="1">
      <c r="B74" s="57" t="s">
        <v>26</v>
      </c>
      <c r="C74" s="57">
        <v>370</v>
      </c>
      <c r="D74" s="68" t="s">
        <v>118</v>
      </c>
      <c r="E74" s="57" t="s">
        <v>54</v>
      </c>
      <c r="F74" s="58">
        <v>0.85</v>
      </c>
      <c r="G74" s="59">
        <v>62.75</v>
      </c>
      <c r="H74" s="48"/>
      <c r="I74" s="48">
        <f t="shared" ref="I74:I76" si="13">TRUNC((G74*F74),2)</f>
        <v>53.33</v>
      </c>
      <c r="J74" s="49">
        <v>0</v>
      </c>
      <c r="K74" s="49"/>
    </row>
    <row r="75" spans="1:11" hidden="1">
      <c r="B75" s="57" t="s">
        <v>26</v>
      </c>
      <c r="C75" s="57" t="s">
        <v>119</v>
      </c>
      <c r="D75" s="68" t="s">
        <v>120</v>
      </c>
      <c r="E75" s="57" t="s">
        <v>57</v>
      </c>
      <c r="F75" s="58">
        <v>277.72000000000003</v>
      </c>
      <c r="G75" s="59">
        <v>0.5</v>
      </c>
      <c r="H75" s="48"/>
      <c r="I75" s="48">
        <f t="shared" si="13"/>
        <v>138.86000000000001</v>
      </c>
      <c r="J75" s="49">
        <v>0</v>
      </c>
      <c r="K75" s="49"/>
    </row>
    <row r="76" spans="1:11" ht="25.5" hidden="1">
      <c r="B76" s="57" t="s">
        <v>26</v>
      </c>
      <c r="C76" s="57" t="s">
        <v>121</v>
      </c>
      <c r="D76" s="68" t="s">
        <v>122</v>
      </c>
      <c r="E76" s="57" t="s">
        <v>54</v>
      </c>
      <c r="F76" s="58">
        <v>0.58899999999999997</v>
      </c>
      <c r="G76" s="59">
        <v>63.77</v>
      </c>
      <c r="H76" s="48"/>
      <c r="I76" s="48">
        <f t="shared" si="13"/>
        <v>37.56</v>
      </c>
      <c r="J76" s="49">
        <v>0</v>
      </c>
      <c r="K76" s="49"/>
    </row>
    <row r="77" spans="1:11">
      <c r="B77" s="55"/>
      <c r="C77" s="55"/>
      <c r="D77" s="75"/>
      <c r="E77" s="55"/>
      <c r="F77" s="64"/>
      <c r="G77" s="67"/>
      <c r="H77" s="220"/>
      <c r="I77" s="220"/>
      <c r="J77" s="56"/>
      <c r="K77" s="56"/>
    </row>
    <row r="78" spans="1:11">
      <c r="A78" s="62">
        <v>13</v>
      </c>
      <c r="B78" s="57" t="s">
        <v>27</v>
      </c>
      <c r="C78" s="60" t="s">
        <v>123</v>
      </c>
      <c r="D78" s="184" t="s">
        <v>124</v>
      </c>
      <c r="E78" s="57" t="s">
        <v>125</v>
      </c>
      <c r="F78" s="185" t="s">
        <v>20</v>
      </c>
      <c r="G78" s="49"/>
      <c r="H78" s="188"/>
      <c r="I78" s="188">
        <f>SUM(I79:I81)</f>
        <v>0.33</v>
      </c>
      <c r="J78" s="188">
        <f>SUM(J79:J81)</f>
        <v>102.43</v>
      </c>
      <c r="K78" s="49">
        <f>J78+I78</f>
        <v>102.76</v>
      </c>
    </row>
    <row r="79" spans="1:11" hidden="1">
      <c r="A79" s="39"/>
      <c r="B79" s="57" t="s">
        <v>21</v>
      </c>
      <c r="C79" s="60">
        <v>88309</v>
      </c>
      <c r="D79" s="184" t="s">
        <v>126</v>
      </c>
      <c r="E79" s="57" t="s">
        <v>17</v>
      </c>
      <c r="F79" s="185">
        <v>1.65</v>
      </c>
      <c r="G79" s="49">
        <v>19.46</v>
      </c>
      <c r="H79" s="49"/>
      <c r="I79" s="49">
        <v>0</v>
      </c>
      <c r="J79" s="49">
        <f t="shared" ref="J79:J80" si="14">TRUNC((G79*F79),2)</f>
        <v>32.1</v>
      </c>
      <c r="K79" s="49"/>
    </row>
    <row r="80" spans="1:11" hidden="1">
      <c r="A80" s="39"/>
      <c r="B80" s="57" t="s">
        <v>21</v>
      </c>
      <c r="C80" s="60" t="s">
        <v>39</v>
      </c>
      <c r="D80" s="184" t="s">
        <v>23</v>
      </c>
      <c r="E80" s="57" t="s">
        <v>17</v>
      </c>
      <c r="F80" s="185">
        <v>4.5</v>
      </c>
      <c r="G80" s="49">
        <v>15.63</v>
      </c>
      <c r="H80" s="49"/>
      <c r="I80" s="49">
        <v>0</v>
      </c>
      <c r="J80" s="49">
        <f t="shared" si="14"/>
        <v>70.33</v>
      </c>
      <c r="K80" s="49"/>
    </row>
    <row r="81" spans="1:12" ht="25.5" hidden="1">
      <c r="A81" s="39"/>
      <c r="B81" s="57" t="s">
        <v>21</v>
      </c>
      <c r="C81" s="60" t="s">
        <v>127</v>
      </c>
      <c r="D81" s="184" t="s">
        <v>128</v>
      </c>
      <c r="E81" s="57" t="s">
        <v>22</v>
      </c>
      <c r="F81" s="185">
        <v>0.3</v>
      </c>
      <c r="G81" s="49">
        <v>1.1200000000000001</v>
      </c>
      <c r="H81" s="49"/>
      <c r="I81" s="48">
        <f t="shared" ref="I81" si="15">TRUNC((G81*F81),2)</f>
        <v>0.33</v>
      </c>
      <c r="J81" s="49">
        <v>0</v>
      </c>
      <c r="K81" s="49"/>
    </row>
    <row r="82" spans="1:12">
      <c r="B82" s="55"/>
      <c r="C82" s="55"/>
      <c r="D82" s="75"/>
      <c r="E82" s="55"/>
      <c r="F82" s="64"/>
      <c r="G82" s="67"/>
      <c r="H82" s="220"/>
      <c r="I82" s="220"/>
      <c r="J82" s="56"/>
      <c r="K82" s="56"/>
    </row>
    <row r="83" spans="1:12" ht="38.25">
      <c r="A83" s="34">
        <v>14</v>
      </c>
      <c r="B83" s="191" t="s">
        <v>27</v>
      </c>
      <c r="C83" s="191" t="s">
        <v>80</v>
      </c>
      <c r="D83" s="221" t="s">
        <v>129</v>
      </c>
      <c r="E83" s="191" t="s">
        <v>1</v>
      </c>
      <c r="F83" s="222" t="s">
        <v>20</v>
      </c>
      <c r="G83" s="223"/>
      <c r="H83" s="224"/>
      <c r="I83" s="224">
        <f>SUM(I84:I86)</f>
        <v>3.18</v>
      </c>
      <c r="J83" s="188">
        <f>SUM(J84:J86)</f>
        <v>3.25</v>
      </c>
      <c r="K83" s="49">
        <f>TRUNC((J83+I83),2)</f>
        <v>6.43</v>
      </c>
      <c r="L83" s="240"/>
    </row>
    <row r="84" spans="1:12">
      <c r="A84" s="54"/>
      <c r="B84" s="57" t="s">
        <v>21</v>
      </c>
      <c r="C84" s="57" t="s">
        <v>38</v>
      </c>
      <c r="D84" s="68" t="s">
        <v>24</v>
      </c>
      <c r="E84" s="57" t="s">
        <v>17</v>
      </c>
      <c r="F84" s="58">
        <v>0.09</v>
      </c>
      <c r="G84" s="59">
        <v>16.2</v>
      </c>
      <c r="H84" s="48"/>
      <c r="I84" s="48">
        <v>0</v>
      </c>
      <c r="J84" s="49">
        <f t="shared" ref="J84:J85" si="16">TRUNC((G84*F84),2)</f>
        <v>1.45</v>
      </c>
      <c r="K84" s="49"/>
    </row>
    <row r="85" spans="1:12">
      <c r="A85" s="54"/>
      <c r="B85" s="57" t="s">
        <v>21</v>
      </c>
      <c r="C85" s="57" t="s">
        <v>37</v>
      </c>
      <c r="D85" s="68" t="s">
        <v>25</v>
      </c>
      <c r="E85" s="57" t="s">
        <v>17</v>
      </c>
      <c r="F85" s="58">
        <v>0.09</v>
      </c>
      <c r="G85" s="59">
        <v>20.100000000000001</v>
      </c>
      <c r="H85" s="48"/>
      <c r="I85" s="48">
        <v>0</v>
      </c>
      <c r="J85" s="49">
        <f t="shared" si="16"/>
        <v>1.8</v>
      </c>
      <c r="K85" s="49"/>
    </row>
    <row r="86" spans="1:12" ht="25.5">
      <c r="A86" s="54"/>
      <c r="B86" s="57" t="s">
        <v>26</v>
      </c>
      <c r="C86" s="57">
        <v>39245</v>
      </c>
      <c r="D86" s="68" t="s">
        <v>130</v>
      </c>
      <c r="E86" s="57" t="s">
        <v>1</v>
      </c>
      <c r="F86" s="58">
        <v>1</v>
      </c>
      <c r="G86" s="59">
        <v>3.18</v>
      </c>
      <c r="H86" s="48"/>
      <c r="I86" s="48">
        <f t="shared" ref="I86" si="17">TRUNC((G86*F86),2)</f>
        <v>3.18</v>
      </c>
      <c r="J86" s="49">
        <v>0</v>
      </c>
      <c r="K86" s="49"/>
    </row>
    <row r="87" spans="1:12">
      <c r="A87" s="54"/>
      <c r="B87" s="54"/>
      <c r="C87" s="54"/>
      <c r="D87" s="225"/>
      <c r="E87" s="54"/>
    </row>
    <row r="88" spans="1:12" ht="38.25">
      <c r="A88" s="34">
        <v>15</v>
      </c>
      <c r="B88" s="191" t="s">
        <v>27</v>
      </c>
      <c r="C88" s="192" t="s">
        <v>73</v>
      </c>
      <c r="D88" s="221" t="s">
        <v>129</v>
      </c>
      <c r="E88" s="191" t="s">
        <v>1</v>
      </c>
      <c r="F88" s="222" t="s">
        <v>20</v>
      </c>
      <c r="G88" s="223"/>
      <c r="H88" s="224"/>
      <c r="I88" s="224">
        <f>SUM(I89:I91)</f>
        <v>1.47</v>
      </c>
      <c r="J88" s="188">
        <f>SUM(J89:J91)</f>
        <v>3.5599999999999996</v>
      </c>
      <c r="K88" s="49">
        <f>TRUNC((J88+I88),2)</f>
        <v>5.03</v>
      </c>
    </row>
    <row r="89" spans="1:12">
      <c r="A89" s="54"/>
      <c r="B89" s="57" t="s">
        <v>21</v>
      </c>
      <c r="C89" s="57" t="s">
        <v>38</v>
      </c>
      <c r="D89" s="68" t="s">
        <v>24</v>
      </c>
      <c r="E89" s="57" t="s">
        <v>17</v>
      </c>
      <c r="F89" s="58">
        <v>0.1</v>
      </c>
      <c r="G89" s="59">
        <v>15.51</v>
      </c>
      <c r="H89" s="48"/>
      <c r="I89" s="48">
        <v>0</v>
      </c>
      <c r="J89" s="49">
        <f t="shared" ref="J89:J90" si="18">TRUNC((G89*F89),2)</f>
        <v>1.55</v>
      </c>
      <c r="K89" s="49"/>
    </row>
    <row r="90" spans="1:12">
      <c r="A90" s="54"/>
      <c r="B90" s="57" t="s">
        <v>21</v>
      </c>
      <c r="C90" s="57" t="s">
        <v>37</v>
      </c>
      <c r="D90" s="68" t="s">
        <v>25</v>
      </c>
      <c r="E90" s="57" t="s">
        <v>17</v>
      </c>
      <c r="F90" s="58">
        <v>0.1</v>
      </c>
      <c r="G90" s="59">
        <v>20.170000000000002</v>
      </c>
      <c r="H90" s="48"/>
      <c r="I90" s="48">
        <v>0</v>
      </c>
      <c r="J90" s="49">
        <f t="shared" si="18"/>
        <v>2.0099999999999998</v>
      </c>
      <c r="K90" s="49"/>
    </row>
    <row r="91" spans="1:12">
      <c r="A91" s="54"/>
      <c r="B91" s="57" t="s">
        <v>26</v>
      </c>
      <c r="C91" s="57">
        <v>2688</v>
      </c>
      <c r="D91" s="68" t="s">
        <v>228</v>
      </c>
      <c r="E91" s="57" t="s">
        <v>1</v>
      </c>
      <c r="F91" s="58">
        <v>1</v>
      </c>
      <c r="G91" s="59">
        <v>1.47</v>
      </c>
      <c r="H91" s="48"/>
      <c r="I91" s="48">
        <f t="shared" ref="I91" si="19">TRUNC((G91*F91),2)</f>
        <v>1.47</v>
      </c>
      <c r="J91" s="49">
        <v>0</v>
      </c>
      <c r="K91" s="49"/>
    </row>
    <row r="92" spans="1:12">
      <c r="A92" s="54"/>
      <c r="B92" s="281"/>
      <c r="C92" s="282"/>
      <c r="D92" s="283" t="s">
        <v>222</v>
      </c>
      <c r="E92" s="282"/>
      <c r="F92" s="284"/>
      <c r="G92" s="285"/>
      <c r="H92" s="286"/>
      <c r="I92" s="286"/>
      <c r="J92" s="287"/>
      <c r="K92" s="288"/>
    </row>
    <row r="93" spans="1:12">
      <c r="A93" s="54"/>
      <c r="B93" s="55"/>
      <c r="C93" s="55"/>
      <c r="D93" s="75"/>
      <c r="E93" s="55"/>
      <c r="F93" s="64"/>
      <c r="G93" s="67"/>
      <c r="H93" s="220"/>
      <c r="I93" s="220"/>
      <c r="J93" s="56"/>
      <c r="K93" s="56"/>
    </row>
    <row r="94" spans="1:12">
      <c r="A94" s="34">
        <v>16</v>
      </c>
      <c r="B94" s="191" t="s">
        <v>27</v>
      </c>
      <c r="C94" s="192">
        <v>83446</v>
      </c>
      <c r="D94" s="221" t="s">
        <v>131</v>
      </c>
      <c r="E94" s="191" t="s">
        <v>19</v>
      </c>
      <c r="F94" s="222" t="s">
        <v>20</v>
      </c>
      <c r="G94" s="223"/>
      <c r="H94" s="224"/>
      <c r="I94" s="224">
        <f>SUM(I95:I97)</f>
        <v>48.7</v>
      </c>
      <c r="J94" s="188">
        <f>SUM(J95:J97)</f>
        <v>102.2</v>
      </c>
      <c r="K94" s="49">
        <f>TRUNC((J94+I94),2)</f>
        <v>150.9</v>
      </c>
    </row>
    <row r="95" spans="1:12" hidden="1">
      <c r="A95" s="54"/>
      <c r="B95" s="57" t="s">
        <v>132</v>
      </c>
      <c r="C95" s="57" t="s">
        <v>28</v>
      </c>
      <c r="D95" s="68" t="s">
        <v>131</v>
      </c>
      <c r="E95" s="57" t="s">
        <v>19</v>
      </c>
      <c r="F95" s="58">
        <v>1</v>
      </c>
      <c r="G95" s="59">
        <v>48.7</v>
      </c>
      <c r="H95" s="48"/>
      <c r="I95" s="48">
        <f t="shared" ref="I95" si="20">TRUNC((G95*F95),2)</f>
        <v>48.7</v>
      </c>
      <c r="J95" s="49">
        <v>0</v>
      </c>
      <c r="K95" s="49"/>
    </row>
    <row r="96" spans="1:12" hidden="1">
      <c r="A96" s="54"/>
      <c r="B96" s="57" t="s">
        <v>21</v>
      </c>
      <c r="C96" s="57" t="s">
        <v>133</v>
      </c>
      <c r="D96" s="68" t="s">
        <v>126</v>
      </c>
      <c r="E96" s="57" t="s">
        <v>17</v>
      </c>
      <c r="F96" s="58">
        <v>1.6789000000000001</v>
      </c>
      <c r="G96" s="59">
        <v>19.46</v>
      </c>
      <c r="H96" s="48"/>
      <c r="I96" s="48">
        <v>0</v>
      </c>
      <c r="J96" s="49">
        <f t="shared" ref="J96:J97" si="21">TRUNC((G96*F96),2)</f>
        <v>32.67</v>
      </c>
      <c r="K96" s="49"/>
    </row>
    <row r="97" spans="1:12" hidden="1">
      <c r="A97" s="54"/>
      <c r="B97" s="57" t="s">
        <v>21</v>
      </c>
      <c r="C97" s="57" t="s">
        <v>39</v>
      </c>
      <c r="D97" s="68" t="s">
        <v>23</v>
      </c>
      <c r="E97" s="57" t="s">
        <v>17</v>
      </c>
      <c r="F97" s="58">
        <v>4.4832000000000001</v>
      </c>
      <c r="G97" s="59">
        <v>15.51</v>
      </c>
      <c r="H97" s="48"/>
      <c r="I97" s="48">
        <v>0</v>
      </c>
      <c r="J97" s="49">
        <f t="shared" si="21"/>
        <v>69.53</v>
      </c>
      <c r="K97" s="49"/>
    </row>
    <row r="98" spans="1:12">
      <c r="A98" s="54"/>
      <c r="B98" s="55"/>
      <c r="C98" s="55"/>
      <c r="D98" s="75"/>
      <c r="E98" s="55"/>
      <c r="F98" s="64"/>
      <c r="G98" s="67"/>
      <c r="H98" s="220"/>
      <c r="I98" s="220"/>
      <c r="J98" s="56"/>
      <c r="K98" s="56"/>
    </row>
    <row r="99" spans="1:12" ht="38.25">
      <c r="A99" s="34">
        <v>17</v>
      </c>
      <c r="B99" s="226" t="s">
        <v>134</v>
      </c>
      <c r="C99" s="227">
        <v>92365</v>
      </c>
      <c r="D99" s="228" t="s">
        <v>135</v>
      </c>
      <c r="E99" s="229" t="s">
        <v>1</v>
      </c>
      <c r="F99" s="230"/>
      <c r="G99" s="231"/>
      <c r="H99" s="232"/>
      <c r="I99" s="218">
        <f>SUM(I100:I102)</f>
        <v>28.13</v>
      </c>
      <c r="J99" s="219">
        <f>SUM(J100:J102)</f>
        <v>6.85</v>
      </c>
      <c r="K99" s="49">
        <f>TRUNC((J99+I99),2)</f>
        <v>34.979999999999997</v>
      </c>
      <c r="L99" s="11">
        <v>34.979999999999997</v>
      </c>
    </row>
    <row r="100" spans="1:12" ht="25.5" hidden="1">
      <c r="A100" s="39"/>
      <c r="B100" s="57" t="s">
        <v>21</v>
      </c>
      <c r="C100" s="60">
        <v>88248</v>
      </c>
      <c r="D100" s="68" t="s">
        <v>136</v>
      </c>
      <c r="E100" s="57" t="s">
        <v>17</v>
      </c>
      <c r="F100" s="58">
        <v>0.19400000000000001</v>
      </c>
      <c r="G100" s="59">
        <v>15.43</v>
      </c>
      <c r="H100" s="61"/>
      <c r="I100" s="48">
        <v>0</v>
      </c>
      <c r="J100" s="49">
        <f t="shared" ref="J100:J101" si="22">TRUNC((G100*F100),2)</f>
        <v>2.99</v>
      </c>
      <c r="K100" s="61"/>
    </row>
    <row r="101" spans="1:12" ht="25.5" hidden="1">
      <c r="A101" s="39"/>
      <c r="B101" s="57" t="s">
        <v>21</v>
      </c>
      <c r="C101" s="60">
        <v>88267</v>
      </c>
      <c r="D101" s="68" t="s">
        <v>137</v>
      </c>
      <c r="E101" s="57" t="s">
        <v>17</v>
      </c>
      <c r="F101" s="58">
        <v>0.19400000000000001</v>
      </c>
      <c r="G101" s="59">
        <v>19.940000000000001</v>
      </c>
      <c r="H101" s="61"/>
      <c r="I101" s="48">
        <v>0</v>
      </c>
      <c r="J101" s="49">
        <f t="shared" si="22"/>
        <v>3.86</v>
      </c>
      <c r="K101" s="61"/>
    </row>
    <row r="102" spans="1:12" ht="25.5" hidden="1">
      <c r="A102" s="39"/>
      <c r="B102" s="57" t="s">
        <v>26</v>
      </c>
      <c r="C102" s="60">
        <v>7697</v>
      </c>
      <c r="D102" s="68" t="s">
        <v>138</v>
      </c>
      <c r="E102" s="57" t="s">
        <v>1</v>
      </c>
      <c r="F102" s="58">
        <v>1.0389999999999999</v>
      </c>
      <c r="G102" s="59">
        <v>27.08</v>
      </c>
      <c r="H102" s="61"/>
      <c r="I102" s="48">
        <f t="shared" ref="I102" si="23">TRUNC((G102*F102),2)</f>
        <v>28.13</v>
      </c>
      <c r="J102" s="49">
        <v>0</v>
      </c>
      <c r="K102" s="61"/>
    </row>
    <row r="103" spans="1:12">
      <c r="A103" s="197"/>
      <c r="B103" s="55"/>
      <c r="C103" s="233"/>
      <c r="D103" s="234"/>
      <c r="E103" s="233"/>
      <c r="F103" s="235"/>
      <c r="G103" s="236"/>
      <c r="H103" s="237"/>
      <c r="I103" s="220"/>
      <c r="J103" s="56"/>
      <c r="K103" s="238"/>
    </row>
    <row r="104" spans="1:12" ht="25.5">
      <c r="A104" s="62">
        <v>18</v>
      </c>
      <c r="B104" s="226" t="s">
        <v>134</v>
      </c>
      <c r="C104" s="226" t="s">
        <v>73</v>
      </c>
      <c r="D104" s="228" t="s">
        <v>139</v>
      </c>
      <c r="E104" s="226" t="s">
        <v>19</v>
      </c>
      <c r="F104" s="226" t="s">
        <v>20</v>
      </c>
      <c r="G104" s="231"/>
      <c r="H104" s="232"/>
      <c r="I104" s="218">
        <f>SUM(I105:I107)</f>
        <v>3.98</v>
      </c>
      <c r="J104" s="219">
        <f>SUM(J105:J107)</f>
        <v>10.600000000000001</v>
      </c>
      <c r="K104" s="49">
        <f>TRUNC((J104+I104),2)</f>
        <v>14.58</v>
      </c>
    </row>
    <row r="105" spans="1:12" ht="25.5">
      <c r="B105" s="57" t="s">
        <v>21</v>
      </c>
      <c r="C105" s="60" t="s">
        <v>140</v>
      </c>
      <c r="D105" s="68" t="s">
        <v>136</v>
      </c>
      <c r="E105" s="57" t="s">
        <v>17</v>
      </c>
      <c r="F105" s="58">
        <v>0.3</v>
      </c>
      <c r="G105" s="59">
        <v>15.43</v>
      </c>
      <c r="H105" s="61"/>
      <c r="I105" s="48">
        <v>0</v>
      </c>
      <c r="J105" s="49">
        <f t="shared" ref="J105:J106" si="24">TRUNC((G105*F105),2)</f>
        <v>4.62</v>
      </c>
      <c r="K105" s="61"/>
    </row>
    <row r="106" spans="1:12" ht="25.5">
      <c r="B106" s="57" t="s">
        <v>21</v>
      </c>
      <c r="C106" s="60" t="s">
        <v>141</v>
      </c>
      <c r="D106" s="68" t="s">
        <v>137</v>
      </c>
      <c r="E106" s="57" t="s">
        <v>17</v>
      </c>
      <c r="F106" s="58">
        <v>0.3</v>
      </c>
      <c r="G106" s="59">
        <v>19.940000000000001</v>
      </c>
      <c r="H106" s="61"/>
      <c r="I106" s="48">
        <v>0</v>
      </c>
      <c r="J106" s="49">
        <f t="shared" si="24"/>
        <v>5.98</v>
      </c>
      <c r="K106" s="61"/>
    </row>
    <row r="107" spans="1:12" ht="25.5">
      <c r="B107" s="57" t="s">
        <v>26</v>
      </c>
      <c r="C107" s="60">
        <v>1875</v>
      </c>
      <c r="D107" s="68" t="s">
        <v>142</v>
      </c>
      <c r="E107" s="57" t="s">
        <v>19</v>
      </c>
      <c r="F107" s="58">
        <v>1</v>
      </c>
      <c r="G107" s="59">
        <v>3.98</v>
      </c>
      <c r="H107" s="61"/>
      <c r="I107" s="48">
        <f t="shared" ref="I107" si="25">TRUNC((G107*F107),2)</f>
        <v>3.98</v>
      </c>
      <c r="J107" s="49">
        <v>0</v>
      </c>
      <c r="K107" s="61"/>
    </row>
    <row r="108" spans="1:12">
      <c r="B108" s="281"/>
      <c r="C108" s="282"/>
      <c r="D108" s="283" t="s">
        <v>229</v>
      </c>
      <c r="E108" s="282"/>
      <c r="F108" s="284"/>
      <c r="G108" s="285"/>
      <c r="H108" s="286"/>
      <c r="I108" s="286"/>
      <c r="J108" s="287"/>
      <c r="K108" s="288"/>
    </row>
    <row r="109" spans="1:12">
      <c r="A109" s="197"/>
      <c r="B109" s="55"/>
      <c r="C109" s="233"/>
      <c r="D109" s="234"/>
      <c r="E109" s="233"/>
      <c r="F109" s="235"/>
      <c r="G109" s="236"/>
      <c r="H109" s="237"/>
      <c r="I109" s="220"/>
      <c r="J109" s="56"/>
      <c r="K109" s="238"/>
    </row>
    <row r="110" spans="1:12" ht="25.5">
      <c r="A110" s="62">
        <v>19</v>
      </c>
      <c r="B110" s="226" t="s">
        <v>134</v>
      </c>
      <c r="C110" s="226">
        <v>93013</v>
      </c>
      <c r="D110" s="228" t="s">
        <v>143</v>
      </c>
      <c r="E110" s="226" t="s">
        <v>19</v>
      </c>
      <c r="F110" s="226" t="s">
        <v>20</v>
      </c>
      <c r="G110" s="231"/>
      <c r="H110" s="232"/>
      <c r="I110" s="218">
        <f>SUM(I111:I113)</f>
        <v>2.48</v>
      </c>
      <c r="J110" s="219">
        <f>SUM(J111:J113)</f>
        <v>7.98</v>
      </c>
      <c r="K110" s="49">
        <f>TRUNC((J110+I110),2)</f>
        <v>10.46</v>
      </c>
      <c r="L110" s="11">
        <v>10.46</v>
      </c>
    </row>
    <row r="111" spans="1:12" ht="25.5" hidden="1">
      <c r="B111" s="57" t="s">
        <v>21</v>
      </c>
      <c r="C111" s="60" t="s">
        <v>140</v>
      </c>
      <c r="D111" s="68" t="s">
        <v>136</v>
      </c>
      <c r="E111" s="57" t="s">
        <v>17</v>
      </c>
      <c r="F111" s="58">
        <v>0.22600000000000001</v>
      </c>
      <c r="G111" s="59">
        <v>15.43</v>
      </c>
      <c r="H111" s="61"/>
      <c r="I111" s="48">
        <v>0</v>
      </c>
      <c r="J111" s="49">
        <f t="shared" ref="J111:J112" si="26">TRUNC((G111*F111),2)</f>
        <v>3.48</v>
      </c>
      <c r="K111" s="61"/>
    </row>
    <row r="112" spans="1:12" ht="25.5" hidden="1">
      <c r="B112" s="57" t="s">
        <v>21</v>
      </c>
      <c r="C112" s="60" t="s">
        <v>141</v>
      </c>
      <c r="D112" s="68" t="s">
        <v>137</v>
      </c>
      <c r="E112" s="57" t="s">
        <v>17</v>
      </c>
      <c r="F112" s="58">
        <v>0.22600000000000001</v>
      </c>
      <c r="G112" s="59">
        <v>19.940000000000001</v>
      </c>
      <c r="H112" s="61"/>
      <c r="I112" s="48">
        <v>0</v>
      </c>
      <c r="J112" s="49">
        <f t="shared" si="26"/>
        <v>4.5</v>
      </c>
      <c r="K112" s="61"/>
    </row>
    <row r="113" spans="1:11" hidden="1">
      <c r="B113" s="57" t="s">
        <v>26</v>
      </c>
      <c r="C113" s="60">
        <v>1893</v>
      </c>
      <c r="D113" s="68" t="s">
        <v>144</v>
      </c>
      <c r="E113" s="57" t="s">
        <v>19</v>
      </c>
      <c r="F113" s="58">
        <v>1</v>
      </c>
      <c r="G113" s="59">
        <v>2.48</v>
      </c>
      <c r="H113" s="61"/>
      <c r="I113" s="48">
        <f t="shared" ref="I113" si="27">TRUNC((G113*F113),2)</f>
        <v>2.48</v>
      </c>
      <c r="J113" s="49">
        <v>0</v>
      </c>
      <c r="K113" s="61"/>
    </row>
    <row r="114" spans="1:11">
      <c r="A114" s="197"/>
      <c r="B114" s="55"/>
      <c r="C114" s="233"/>
      <c r="D114" s="234"/>
      <c r="E114" s="233"/>
      <c r="F114" s="235"/>
      <c r="G114" s="236"/>
      <c r="H114" s="237"/>
      <c r="I114" s="220"/>
      <c r="J114" s="56"/>
      <c r="K114" s="238"/>
    </row>
    <row r="115" spans="1:11" ht="25.5">
      <c r="A115" s="66">
        <v>20</v>
      </c>
      <c r="B115" s="191" t="s">
        <v>27</v>
      </c>
      <c r="C115" s="192" t="s">
        <v>73</v>
      </c>
      <c r="D115" s="221" t="s">
        <v>145</v>
      </c>
      <c r="E115" s="191" t="s">
        <v>19</v>
      </c>
      <c r="F115" s="222" t="s">
        <v>20</v>
      </c>
      <c r="G115" s="223"/>
      <c r="H115" s="224"/>
      <c r="I115" s="224">
        <f>SUM(I116:I119)</f>
        <v>7.1199999999999992</v>
      </c>
      <c r="J115" s="188">
        <f>SUM(J116:J119)</f>
        <v>1.24</v>
      </c>
      <c r="K115" s="49">
        <f>TRUNC((J115+I115),2)</f>
        <v>8.36</v>
      </c>
    </row>
    <row r="116" spans="1:11">
      <c r="A116" s="54"/>
      <c r="B116" s="57" t="s">
        <v>21</v>
      </c>
      <c r="C116" s="57" t="s">
        <v>38</v>
      </c>
      <c r="D116" s="68" t="s">
        <v>24</v>
      </c>
      <c r="E116" s="57" t="s">
        <v>17</v>
      </c>
      <c r="F116" s="58">
        <v>3.5000000000000003E-2</v>
      </c>
      <c r="G116" s="59">
        <v>15.51</v>
      </c>
      <c r="H116" s="48"/>
      <c r="I116" s="48">
        <v>0</v>
      </c>
      <c r="J116" s="49">
        <f t="shared" ref="J116:J117" si="28">TRUNC((G116*F116),2)</f>
        <v>0.54</v>
      </c>
      <c r="K116" s="49"/>
    </row>
    <row r="117" spans="1:11">
      <c r="A117" s="54"/>
      <c r="B117" s="57" t="s">
        <v>21</v>
      </c>
      <c r="C117" s="57" t="s">
        <v>37</v>
      </c>
      <c r="D117" s="68" t="s">
        <v>25</v>
      </c>
      <c r="E117" s="57" t="s">
        <v>17</v>
      </c>
      <c r="F117" s="58">
        <v>3.5000000000000003E-2</v>
      </c>
      <c r="G117" s="59">
        <v>20.170000000000002</v>
      </c>
      <c r="H117" s="48"/>
      <c r="I117" s="48">
        <v>0</v>
      </c>
      <c r="J117" s="49">
        <f t="shared" si="28"/>
        <v>0.7</v>
      </c>
      <c r="K117" s="49"/>
    </row>
    <row r="118" spans="1:11" ht="25.5">
      <c r="A118" s="54"/>
      <c r="B118" s="57" t="s">
        <v>26</v>
      </c>
      <c r="C118" s="57">
        <v>1570</v>
      </c>
      <c r="D118" s="68" t="s">
        <v>230</v>
      </c>
      <c r="E118" s="57" t="s">
        <v>19</v>
      </c>
      <c r="F118" s="58">
        <v>1</v>
      </c>
      <c r="G118" s="59">
        <v>0.52</v>
      </c>
      <c r="H118" s="48"/>
      <c r="I118" s="48">
        <f t="shared" ref="I118:I119" si="29">TRUNC((G118*F118),2)</f>
        <v>0.52</v>
      </c>
      <c r="J118" s="49">
        <v>0</v>
      </c>
      <c r="K118" s="49"/>
    </row>
    <row r="119" spans="1:11">
      <c r="A119" s="54"/>
      <c r="B119" s="57" t="s">
        <v>26</v>
      </c>
      <c r="C119" s="57">
        <v>34653</v>
      </c>
      <c r="D119" s="68" t="s">
        <v>231</v>
      </c>
      <c r="E119" s="57" t="s">
        <v>19</v>
      </c>
      <c r="F119" s="58">
        <v>1</v>
      </c>
      <c r="G119" s="59">
        <v>6.6</v>
      </c>
      <c r="H119" s="48"/>
      <c r="I119" s="48">
        <f t="shared" si="29"/>
        <v>6.6</v>
      </c>
      <c r="J119" s="49">
        <v>0</v>
      </c>
      <c r="K119" s="49"/>
    </row>
    <row r="120" spans="1:11">
      <c r="A120" s="54"/>
      <c r="B120" s="281"/>
      <c r="C120" s="282"/>
      <c r="D120" s="283" t="s">
        <v>232</v>
      </c>
      <c r="E120" s="282"/>
      <c r="F120" s="284"/>
      <c r="G120" s="285"/>
      <c r="H120" s="286"/>
      <c r="I120" s="286"/>
      <c r="J120" s="287"/>
      <c r="K120" s="288"/>
    </row>
    <row r="121" spans="1:11">
      <c r="A121" s="197"/>
      <c r="B121" s="55"/>
      <c r="C121" s="233"/>
      <c r="D121" s="234"/>
      <c r="E121" s="233"/>
      <c r="F121" s="235"/>
      <c r="G121" s="236"/>
      <c r="H121" s="237"/>
      <c r="I121" s="220"/>
      <c r="J121" s="56"/>
      <c r="K121" s="238"/>
    </row>
    <row r="122" spans="1:11" ht="25.5">
      <c r="A122" s="66">
        <v>21</v>
      </c>
      <c r="B122" s="191" t="s">
        <v>27</v>
      </c>
      <c r="C122" s="226" t="s">
        <v>147</v>
      </c>
      <c r="D122" s="221" t="s">
        <v>148</v>
      </c>
      <c r="E122" s="191" t="s">
        <v>19</v>
      </c>
      <c r="F122" s="222" t="s">
        <v>20</v>
      </c>
      <c r="G122" s="223"/>
      <c r="H122" s="224"/>
      <c r="I122" s="224">
        <f>SUM(I123:I126)</f>
        <v>48.97</v>
      </c>
      <c r="J122" s="188">
        <f>SUM(J123:J126)</f>
        <v>14.469999999999999</v>
      </c>
      <c r="K122" s="49">
        <f>TRUNC((J122+I122),2)</f>
        <v>63.44</v>
      </c>
    </row>
    <row r="123" spans="1:11" hidden="1">
      <c r="A123" s="54"/>
      <c r="B123" s="57" t="s">
        <v>21</v>
      </c>
      <c r="C123" s="57" t="s">
        <v>38</v>
      </c>
      <c r="D123" s="68" t="s">
        <v>24</v>
      </c>
      <c r="E123" s="57" t="s">
        <v>17</v>
      </c>
      <c r="F123" s="58">
        <v>0.40600000000000003</v>
      </c>
      <c r="G123" s="59">
        <v>15.51</v>
      </c>
      <c r="H123" s="48"/>
      <c r="I123" s="48">
        <v>0</v>
      </c>
      <c r="J123" s="49">
        <f t="shared" ref="J123:J124" si="30">TRUNC((G123*F123),2)</f>
        <v>6.29</v>
      </c>
      <c r="K123" s="49"/>
    </row>
    <row r="124" spans="1:11" hidden="1">
      <c r="A124" s="54"/>
      <c r="B124" s="57" t="s">
        <v>21</v>
      </c>
      <c r="C124" s="57" t="s">
        <v>37</v>
      </c>
      <c r="D124" s="68" t="s">
        <v>25</v>
      </c>
      <c r="E124" s="57" t="s">
        <v>17</v>
      </c>
      <c r="F124" s="58">
        <v>0.40600000000000003</v>
      </c>
      <c r="G124" s="59">
        <v>20.170000000000002</v>
      </c>
      <c r="H124" s="48"/>
      <c r="I124" s="48">
        <v>0</v>
      </c>
      <c r="J124" s="49">
        <f t="shared" si="30"/>
        <v>8.18</v>
      </c>
      <c r="K124" s="49"/>
    </row>
    <row r="125" spans="1:11" ht="25.5" hidden="1">
      <c r="A125" s="54"/>
      <c r="B125" s="57" t="s">
        <v>26</v>
      </c>
      <c r="C125" s="57">
        <v>1574</v>
      </c>
      <c r="D125" s="68" t="s">
        <v>149</v>
      </c>
      <c r="E125" s="57" t="s">
        <v>19</v>
      </c>
      <c r="F125" s="58">
        <v>3</v>
      </c>
      <c r="G125" s="59">
        <v>0.87</v>
      </c>
      <c r="H125" s="48"/>
      <c r="I125" s="48">
        <f t="shared" ref="I125:I126" si="31">TRUNC((G125*F125),2)</f>
        <v>2.61</v>
      </c>
      <c r="J125" s="49">
        <v>0</v>
      </c>
      <c r="K125" s="49"/>
    </row>
    <row r="126" spans="1:11" hidden="1">
      <c r="A126" s="54"/>
      <c r="B126" s="57" t="s">
        <v>26</v>
      </c>
      <c r="C126" s="57">
        <v>34709</v>
      </c>
      <c r="D126" s="68" t="s">
        <v>150</v>
      </c>
      <c r="E126" s="57" t="s">
        <v>19</v>
      </c>
      <c r="F126" s="58">
        <v>1</v>
      </c>
      <c r="G126" s="59">
        <v>46.36</v>
      </c>
      <c r="H126" s="48"/>
      <c r="I126" s="48">
        <f t="shared" si="31"/>
        <v>46.36</v>
      </c>
      <c r="J126" s="49">
        <v>0</v>
      </c>
      <c r="K126" s="49"/>
    </row>
    <row r="127" spans="1:11">
      <c r="A127" s="54"/>
      <c r="B127" s="54"/>
      <c r="C127" s="54"/>
      <c r="D127" s="225"/>
      <c r="E127" s="54"/>
    </row>
    <row r="128" spans="1:11" ht="51">
      <c r="A128" s="66">
        <v>22</v>
      </c>
      <c r="B128" s="191" t="s">
        <v>27</v>
      </c>
      <c r="C128" s="192" t="s">
        <v>233</v>
      </c>
      <c r="D128" s="221" t="s">
        <v>234</v>
      </c>
      <c r="E128" s="191" t="s">
        <v>19</v>
      </c>
      <c r="F128" s="222" t="s">
        <v>20</v>
      </c>
      <c r="G128" s="223"/>
      <c r="H128" s="224"/>
      <c r="I128" s="224">
        <f>SUM(I129:I131)</f>
        <v>240.69</v>
      </c>
      <c r="J128" s="188">
        <f>SUM(J129:J131)</f>
        <v>71.36</v>
      </c>
      <c r="K128" s="49">
        <f>TRUNC((J128+I128),2)</f>
        <v>312.05</v>
      </c>
    </row>
    <row r="129" spans="1:11" ht="25.5" hidden="1">
      <c r="A129" s="54"/>
      <c r="B129" s="57" t="s">
        <v>26</v>
      </c>
      <c r="C129" s="57" t="s">
        <v>235</v>
      </c>
      <c r="D129" s="68" t="s">
        <v>236</v>
      </c>
      <c r="E129" s="57" t="s">
        <v>19</v>
      </c>
      <c r="F129" s="58">
        <v>1</v>
      </c>
      <c r="G129" s="59">
        <v>240.69</v>
      </c>
      <c r="H129" s="48"/>
      <c r="I129" s="48">
        <f t="shared" ref="I129" si="32">TRUNC((G129*F129),2)</f>
        <v>240.69</v>
      </c>
      <c r="J129" s="49">
        <v>0</v>
      </c>
      <c r="K129" s="49"/>
    </row>
    <row r="130" spans="1:11" hidden="1">
      <c r="A130" s="54"/>
      <c r="B130" s="57" t="s">
        <v>21</v>
      </c>
      <c r="C130" s="57" t="s">
        <v>38</v>
      </c>
      <c r="D130" s="68" t="s">
        <v>24</v>
      </c>
      <c r="E130" s="57" t="s">
        <v>17</v>
      </c>
      <c r="F130" s="58">
        <v>2</v>
      </c>
      <c r="G130" s="59">
        <v>15.51</v>
      </c>
      <c r="H130" s="48"/>
      <c r="I130" s="48">
        <v>0</v>
      </c>
      <c r="J130" s="49">
        <f t="shared" ref="J130:J131" si="33">TRUNC((G130*F130),2)</f>
        <v>31.02</v>
      </c>
      <c r="K130" s="49"/>
    </row>
    <row r="131" spans="1:11" hidden="1">
      <c r="A131" s="54"/>
      <c r="B131" s="57" t="s">
        <v>21</v>
      </c>
      <c r="C131" s="57" t="s">
        <v>37</v>
      </c>
      <c r="D131" s="68" t="s">
        <v>25</v>
      </c>
      <c r="E131" s="57" t="s">
        <v>17</v>
      </c>
      <c r="F131" s="58">
        <v>2</v>
      </c>
      <c r="G131" s="59">
        <v>20.170000000000002</v>
      </c>
      <c r="H131" s="48"/>
      <c r="I131" s="48">
        <v>0</v>
      </c>
      <c r="J131" s="49">
        <f t="shared" si="33"/>
        <v>40.340000000000003</v>
      </c>
      <c r="K131" s="57"/>
    </row>
    <row r="132" spans="1:11">
      <c r="A132" s="54"/>
      <c r="B132" s="54"/>
      <c r="C132" s="54"/>
      <c r="D132" s="225"/>
      <c r="E132" s="54"/>
    </row>
    <row r="133" spans="1:11" ht="25.5">
      <c r="A133" s="66">
        <v>23</v>
      </c>
      <c r="B133" s="191" t="s">
        <v>27</v>
      </c>
      <c r="C133" s="192" t="s">
        <v>237</v>
      </c>
      <c r="D133" s="221" t="s">
        <v>238</v>
      </c>
      <c r="E133" s="191" t="s">
        <v>19</v>
      </c>
      <c r="F133" s="222" t="s">
        <v>20</v>
      </c>
      <c r="G133" s="223"/>
      <c r="H133" s="224"/>
      <c r="I133" s="224">
        <f>SUM(I134:I136)</f>
        <v>5.0999999999999996</v>
      </c>
      <c r="J133" s="188">
        <f>SUM(J134:J136)</f>
        <v>34.799999999999997</v>
      </c>
      <c r="K133" s="49">
        <f>TRUNC((J133+I133),2)</f>
        <v>39.9</v>
      </c>
    </row>
    <row r="134" spans="1:11" ht="38.25" hidden="1">
      <c r="A134" s="54"/>
      <c r="B134" s="57" t="s">
        <v>26</v>
      </c>
      <c r="C134" s="57" t="s">
        <v>239</v>
      </c>
      <c r="D134" s="68" t="s">
        <v>240</v>
      </c>
      <c r="E134" s="57" t="s">
        <v>19</v>
      </c>
      <c r="F134" s="58">
        <v>1</v>
      </c>
      <c r="G134" s="59">
        <v>30.88</v>
      </c>
      <c r="H134" s="48"/>
      <c r="I134" s="48">
        <v>0</v>
      </c>
      <c r="J134" s="49">
        <f t="shared" ref="J134:J135" si="34">TRUNC((G134*F134),2)</f>
        <v>30.88</v>
      </c>
      <c r="K134" s="49"/>
    </row>
    <row r="135" spans="1:11" hidden="1">
      <c r="A135" s="54"/>
      <c r="B135" s="57" t="s">
        <v>21</v>
      </c>
      <c r="C135" s="57" t="s">
        <v>38</v>
      </c>
      <c r="D135" s="68" t="s">
        <v>24</v>
      </c>
      <c r="E135" s="57" t="s">
        <v>17</v>
      </c>
      <c r="F135" s="58">
        <v>0.25309999999999999</v>
      </c>
      <c r="G135" s="59">
        <v>15.51</v>
      </c>
      <c r="H135" s="48"/>
      <c r="I135" s="48">
        <v>0</v>
      </c>
      <c r="J135" s="49">
        <f t="shared" si="34"/>
        <v>3.92</v>
      </c>
      <c r="K135" s="49"/>
    </row>
    <row r="136" spans="1:11" hidden="1">
      <c r="A136" s="54"/>
      <c r="B136" s="57" t="s">
        <v>21</v>
      </c>
      <c r="C136" s="57" t="s">
        <v>37</v>
      </c>
      <c r="D136" s="68" t="s">
        <v>25</v>
      </c>
      <c r="E136" s="57" t="s">
        <v>17</v>
      </c>
      <c r="F136" s="58">
        <v>0.25309999999999999</v>
      </c>
      <c r="G136" s="59">
        <v>20.170000000000002</v>
      </c>
      <c r="H136" s="48"/>
      <c r="I136" s="48">
        <f t="shared" ref="I136" si="35">TRUNC((G136*F136),2)</f>
        <v>5.0999999999999996</v>
      </c>
      <c r="J136" s="49">
        <v>0</v>
      </c>
      <c r="K136" s="57"/>
    </row>
    <row r="137" spans="1:11">
      <c r="A137" s="54"/>
      <c r="B137" s="54"/>
      <c r="C137" s="54"/>
      <c r="D137" s="225"/>
      <c r="E137" s="54"/>
    </row>
    <row r="138" spans="1:11" ht="25.5">
      <c r="A138" s="66">
        <v>24</v>
      </c>
      <c r="B138" s="191" t="s">
        <v>27</v>
      </c>
      <c r="C138" s="192">
        <v>72344</v>
      </c>
      <c r="D138" s="221" t="s">
        <v>241</v>
      </c>
      <c r="E138" s="191" t="s">
        <v>19</v>
      </c>
      <c r="F138" s="222" t="s">
        <v>20</v>
      </c>
      <c r="G138" s="223"/>
      <c r="H138" s="224"/>
      <c r="I138" s="224">
        <f>SUM(I139:I142)</f>
        <v>221.18</v>
      </c>
      <c r="J138" s="188">
        <f>SUM(J139:J142)</f>
        <v>149.32999999999998</v>
      </c>
      <c r="K138" s="49">
        <f>TRUNC((J138+I138),2)</f>
        <v>370.51</v>
      </c>
    </row>
    <row r="139" spans="1:11" hidden="1">
      <c r="A139" s="54"/>
      <c r="B139" s="57" t="s">
        <v>21</v>
      </c>
      <c r="C139" s="57" t="s">
        <v>38</v>
      </c>
      <c r="D139" s="68" t="s">
        <v>24</v>
      </c>
      <c r="E139" s="57" t="s">
        <v>17</v>
      </c>
      <c r="F139" s="58">
        <v>3.8</v>
      </c>
      <c r="G139" s="59">
        <v>15.51</v>
      </c>
      <c r="H139" s="48"/>
      <c r="I139" s="48">
        <v>0</v>
      </c>
      <c r="J139" s="49">
        <f t="shared" ref="J139:J141" si="36">TRUNC((G139*F139),2)</f>
        <v>58.93</v>
      </c>
      <c r="K139" s="49"/>
    </row>
    <row r="140" spans="1:11" hidden="1">
      <c r="A140" s="54"/>
      <c r="B140" s="57" t="s">
        <v>21</v>
      </c>
      <c r="C140" s="57" t="s">
        <v>37</v>
      </c>
      <c r="D140" s="68" t="s">
        <v>25</v>
      </c>
      <c r="E140" s="57" t="s">
        <v>17</v>
      </c>
      <c r="F140" s="58">
        <v>3.8</v>
      </c>
      <c r="G140" s="59">
        <v>20.170000000000002</v>
      </c>
      <c r="H140" s="48"/>
      <c r="I140" s="48">
        <v>0</v>
      </c>
      <c r="J140" s="49">
        <f t="shared" si="36"/>
        <v>76.64</v>
      </c>
      <c r="K140" s="49"/>
    </row>
    <row r="141" spans="1:11" hidden="1">
      <c r="A141" s="54"/>
      <c r="B141" s="57" t="s">
        <v>21</v>
      </c>
      <c r="C141" s="57">
        <v>20.25</v>
      </c>
      <c r="D141" s="68" t="s">
        <v>151</v>
      </c>
      <c r="E141" s="57" t="s">
        <v>17</v>
      </c>
      <c r="F141" s="58">
        <v>0.5</v>
      </c>
      <c r="G141" s="59">
        <v>27.53</v>
      </c>
      <c r="H141" s="48"/>
      <c r="I141" s="48">
        <v>0</v>
      </c>
      <c r="J141" s="49">
        <f t="shared" si="36"/>
        <v>13.76</v>
      </c>
      <c r="K141" s="49"/>
    </row>
    <row r="142" spans="1:11" ht="25.5" hidden="1">
      <c r="A142" s="54"/>
      <c r="B142" s="57" t="s">
        <v>26</v>
      </c>
      <c r="C142" s="57">
        <v>1620</v>
      </c>
      <c r="D142" s="68" t="s">
        <v>242</v>
      </c>
      <c r="E142" s="57" t="s">
        <v>19</v>
      </c>
      <c r="F142" s="58">
        <v>1</v>
      </c>
      <c r="G142" s="59">
        <v>221.18</v>
      </c>
      <c r="H142" s="48"/>
      <c r="I142" s="48">
        <f t="shared" ref="I142" si="37">TRUNC((G142*F142),2)</f>
        <v>221.18</v>
      </c>
      <c r="J142" s="49">
        <v>0</v>
      </c>
      <c r="K142" s="57"/>
    </row>
    <row r="143" spans="1:11">
      <c r="A143" s="54"/>
      <c r="B143" s="55"/>
      <c r="C143" s="55"/>
      <c r="D143" s="75"/>
      <c r="E143" s="55"/>
      <c r="F143" s="64"/>
      <c r="G143" s="67"/>
      <c r="H143" s="220"/>
      <c r="I143" s="220"/>
      <c r="J143" s="56"/>
      <c r="K143" s="55"/>
    </row>
    <row r="144" spans="1:11">
      <c r="A144" s="62">
        <v>25</v>
      </c>
      <c r="B144" s="226" t="s">
        <v>27</v>
      </c>
      <c r="C144" s="226" t="s">
        <v>80</v>
      </c>
      <c r="D144" s="228" t="s">
        <v>243</v>
      </c>
      <c r="E144" s="226" t="s">
        <v>19</v>
      </c>
      <c r="F144" s="239" t="s">
        <v>20</v>
      </c>
      <c r="G144" s="223"/>
      <c r="H144" s="232"/>
      <c r="I144" s="218">
        <f>SUM(I145:I146)</f>
        <v>7.98</v>
      </c>
      <c r="J144" s="219">
        <f>SUM(J145:J146)</f>
        <v>4.03</v>
      </c>
      <c r="K144" s="49">
        <f>TRUNC((J144+I144),2)</f>
        <v>12.01</v>
      </c>
    </row>
    <row r="145" spans="1:11">
      <c r="B145" s="57" t="s">
        <v>21</v>
      </c>
      <c r="C145" s="57" t="s">
        <v>37</v>
      </c>
      <c r="D145" s="68" t="s">
        <v>25</v>
      </c>
      <c r="E145" s="57" t="s">
        <v>17</v>
      </c>
      <c r="F145" s="58">
        <v>0.2</v>
      </c>
      <c r="G145" s="59">
        <v>20.170000000000002</v>
      </c>
      <c r="H145" s="48"/>
      <c r="I145" s="48">
        <v>0</v>
      </c>
      <c r="J145" s="49">
        <f t="shared" ref="J145" si="38">TRUNC((G145*F145),2)</f>
        <v>4.03</v>
      </c>
      <c r="K145" s="61"/>
    </row>
    <row r="146" spans="1:11" ht="25.5">
      <c r="B146" s="57" t="s">
        <v>26</v>
      </c>
      <c r="C146" s="57">
        <v>3295</v>
      </c>
      <c r="D146" s="68" t="s">
        <v>244</v>
      </c>
      <c r="E146" s="57" t="s">
        <v>19</v>
      </c>
      <c r="F146" s="58">
        <v>1</v>
      </c>
      <c r="G146" s="59">
        <v>7.98</v>
      </c>
      <c r="H146" s="61"/>
      <c r="I146" s="48">
        <f t="shared" ref="I146" si="39">TRUNC((G146*F146),2)</f>
        <v>7.98</v>
      </c>
      <c r="J146" s="49">
        <v>0</v>
      </c>
      <c r="K146" s="61"/>
    </row>
    <row r="147" spans="1:11">
      <c r="B147" s="281"/>
      <c r="C147" s="282"/>
      <c r="D147" s="283" t="s">
        <v>245</v>
      </c>
      <c r="E147" s="282"/>
      <c r="F147" s="284"/>
      <c r="G147" s="285"/>
      <c r="H147" s="286"/>
      <c r="I147" s="286"/>
      <c r="J147" s="287"/>
      <c r="K147" s="288"/>
    </row>
    <row r="148" spans="1:11">
      <c r="A148" s="54"/>
      <c r="B148" s="54"/>
      <c r="C148" s="54"/>
      <c r="D148" s="225"/>
      <c r="E148" s="54"/>
    </row>
    <row r="149" spans="1:11" ht="25.5">
      <c r="A149" s="62">
        <v>26</v>
      </c>
      <c r="B149" s="226" t="s">
        <v>27</v>
      </c>
      <c r="C149" s="226" t="s">
        <v>73</v>
      </c>
      <c r="D149" s="228" t="s">
        <v>152</v>
      </c>
      <c r="E149" s="226" t="s">
        <v>19</v>
      </c>
      <c r="F149" s="239" t="s">
        <v>20</v>
      </c>
      <c r="G149" s="223"/>
      <c r="H149" s="232"/>
      <c r="I149" s="218">
        <f>SUM(I150:I152)</f>
        <v>79.41</v>
      </c>
      <c r="J149" s="219">
        <f>SUM(J150:J152)</f>
        <v>17.829999999999998</v>
      </c>
      <c r="K149" s="49">
        <f>TRUNC((J149+I149),2)</f>
        <v>97.24</v>
      </c>
    </row>
    <row r="150" spans="1:11">
      <c r="B150" s="57" t="s">
        <v>21</v>
      </c>
      <c r="C150" s="57" t="s">
        <v>37</v>
      </c>
      <c r="D150" s="68" t="s">
        <v>25</v>
      </c>
      <c r="E150" s="57" t="s">
        <v>17</v>
      </c>
      <c r="F150" s="58">
        <v>0.5</v>
      </c>
      <c r="G150" s="59">
        <v>20.170000000000002</v>
      </c>
      <c r="H150" s="61"/>
      <c r="I150" s="48">
        <v>0</v>
      </c>
      <c r="J150" s="49">
        <f t="shared" ref="J150:J151" si="40">TRUNC((G150*F150),2)</f>
        <v>10.08</v>
      </c>
      <c r="K150" s="61"/>
    </row>
    <row r="151" spans="1:11">
      <c r="B151" s="57" t="s">
        <v>21</v>
      </c>
      <c r="C151" s="57">
        <v>88266</v>
      </c>
      <c r="D151" s="68" t="s">
        <v>151</v>
      </c>
      <c r="E151" s="57" t="s">
        <v>17</v>
      </c>
      <c r="F151" s="58">
        <v>0.5</v>
      </c>
      <c r="G151" s="59">
        <v>15.51</v>
      </c>
      <c r="H151" s="61"/>
      <c r="I151" s="48">
        <v>0</v>
      </c>
      <c r="J151" s="49">
        <f t="shared" si="40"/>
        <v>7.75</v>
      </c>
      <c r="K151" s="49"/>
    </row>
    <row r="152" spans="1:11">
      <c r="B152" s="57" t="s">
        <v>26</v>
      </c>
      <c r="C152" s="57" t="s">
        <v>246</v>
      </c>
      <c r="D152" s="68" t="s">
        <v>247</v>
      </c>
      <c r="E152" s="57" t="s">
        <v>19</v>
      </c>
      <c r="F152" s="58">
        <v>1</v>
      </c>
      <c r="G152" s="59">
        <v>79.41</v>
      </c>
      <c r="H152" s="61"/>
      <c r="I152" s="48">
        <f t="shared" ref="I152" si="41">TRUNC((G152*F152),2)</f>
        <v>79.41</v>
      </c>
      <c r="J152" s="49">
        <v>0</v>
      </c>
      <c r="K152" s="61"/>
    </row>
    <row r="153" spans="1:11">
      <c r="B153" s="281"/>
      <c r="C153" s="282"/>
      <c r="D153" s="283" t="s">
        <v>248</v>
      </c>
      <c r="E153" s="282"/>
      <c r="F153" s="284"/>
      <c r="G153" s="285"/>
      <c r="H153" s="286"/>
      <c r="I153" s="286"/>
      <c r="J153" s="287"/>
      <c r="K153" s="288"/>
    </row>
    <row r="154" spans="1:11">
      <c r="A154" s="54"/>
      <c r="B154" s="55"/>
      <c r="C154" s="55"/>
      <c r="D154" s="75"/>
      <c r="E154" s="55"/>
      <c r="F154" s="64"/>
      <c r="G154" s="67"/>
      <c r="H154" s="220"/>
      <c r="I154" s="220"/>
      <c r="J154" s="56"/>
      <c r="K154" s="55"/>
    </row>
    <row r="155" spans="1:11" ht="25.5">
      <c r="A155" s="66">
        <v>27</v>
      </c>
      <c r="B155" s="191" t="s">
        <v>27</v>
      </c>
      <c r="C155" s="192" t="s">
        <v>73</v>
      </c>
      <c r="D155" s="221" t="s">
        <v>154</v>
      </c>
      <c r="E155" s="191" t="s">
        <v>19</v>
      </c>
      <c r="F155" s="222" t="s">
        <v>20</v>
      </c>
      <c r="G155" s="223"/>
      <c r="H155" s="224"/>
      <c r="I155" s="224">
        <f>SUM(I156:I159)</f>
        <v>24.02</v>
      </c>
      <c r="J155" s="188">
        <f>SUM(J156:J158)</f>
        <v>12.52</v>
      </c>
      <c r="K155" s="49">
        <f>TRUNC((J155+I155),2)</f>
        <v>36.54</v>
      </c>
    </row>
    <row r="156" spans="1:11">
      <c r="A156" s="54"/>
      <c r="B156" s="57" t="s">
        <v>21</v>
      </c>
      <c r="C156" s="57">
        <v>88316</v>
      </c>
      <c r="D156" s="68" t="s">
        <v>23</v>
      </c>
      <c r="E156" s="57" t="s">
        <v>17</v>
      </c>
      <c r="F156" s="58">
        <v>0.35</v>
      </c>
      <c r="G156" s="59">
        <v>15.63</v>
      </c>
      <c r="H156" s="48"/>
      <c r="I156" s="48">
        <v>0</v>
      </c>
      <c r="J156" s="49">
        <f t="shared" ref="J156:J157" si="42">TRUNC((G156*F156),2)</f>
        <v>5.47</v>
      </c>
      <c r="K156" s="49"/>
    </row>
    <row r="157" spans="1:11">
      <c r="A157" s="54"/>
      <c r="B157" s="57" t="s">
        <v>21</v>
      </c>
      <c r="C157" s="57" t="s">
        <v>37</v>
      </c>
      <c r="D157" s="68" t="s">
        <v>25</v>
      </c>
      <c r="E157" s="57" t="s">
        <v>17</v>
      </c>
      <c r="F157" s="58">
        <v>0.35</v>
      </c>
      <c r="G157" s="59">
        <v>20.170000000000002</v>
      </c>
      <c r="H157" s="48"/>
      <c r="I157" s="48">
        <v>0</v>
      </c>
      <c r="J157" s="49">
        <f t="shared" si="42"/>
        <v>7.05</v>
      </c>
      <c r="K157" s="49"/>
    </row>
    <row r="158" spans="1:11">
      <c r="A158" s="54"/>
      <c r="B158" s="57" t="s">
        <v>153</v>
      </c>
      <c r="C158" s="57">
        <v>39380</v>
      </c>
      <c r="D158" s="68" t="s">
        <v>184</v>
      </c>
      <c r="E158" s="57" t="s">
        <v>19</v>
      </c>
      <c r="F158" s="58">
        <v>1</v>
      </c>
      <c r="G158" s="59">
        <v>8.74</v>
      </c>
      <c r="H158" s="48"/>
      <c r="I158" s="48">
        <f t="shared" ref="I158:I159" si="43">TRUNC((G158*F158),2)</f>
        <v>8.74</v>
      </c>
      <c r="J158" s="49">
        <v>0</v>
      </c>
      <c r="K158" s="57"/>
    </row>
    <row r="159" spans="1:11">
      <c r="A159" s="54"/>
      <c r="B159" s="57" t="s">
        <v>153</v>
      </c>
      <c r="C159" s="57">
        <v>2510</v>
      </c>
      <c r="D159" s="68" t="s">
        <v>249</v>
      </c>
      <c r="E159" s="57" t="s">
        <v>19</v>
      </c>
      <c r="F159" s="58">
        <v>1</v>
      </c>
      <c r="G159" s="59">
        <v>15.28</v>
      </c>
      <c r="H159" s="48"/>
      <c r="I159" s="48">
        <f t="shared" si="43"/>
        <v>15.28</v>
      </c>
      <c r="J159" s="49">
        <v>0</v>
      </c>
      <c r="K159" s="57"/>
    </row>
    <row r="160" spans="1:11">
      <c r="A160" s="54"/>
      <c r="B160" s="281"/>
      <c r="C160" s="282"/>
      <c r="D160" s="283" t="s">
        <v>250</v>
      </c>
      <c r="E160" s="282"/>
      <c r="F160" s="284"/>
      <c r="G160" s="285"/>
      <c r="H160" s="286"/>
      <c r="I160" s="286"/>
      <c r="J160" s="287"/>
      <c r="K160" s="288"/>
    </row>
    <row r="161" spans="1:11">
      <c r="A161" s="54"/>
      <c r="B161" s="55"/>
      <c r="C161" s="55"/>
      <c r="D161" s="75"/>
      <c r="E161" s="55"/>
      <c r="F161" s="64"/>
      <c r="H161" s="65"/>
      <c r="I161" s="220"/>
      <c r="J161" s="56"/>
      <c r="K161" s="65"/>
    </row>
    <row r="162" spans="1:11" ht="38.25">
      <c r="A162" s="66">
        <v>28</v>
      </c>
      <c r="B162" s="191" t="s">
        <v>27</v>
      </c>
      <c r="C162" s="191" t="s">
        <v>251</v>
      </c>
      <c r="D162" s="221" t="s">
        <v>252</v>
      </c>
      <c r="E162" s="191" t="s">
        <v>1</v>
      </c>
      <c r="F162" s="222" t="s">
        <v>20</v>
      </c>
      <c r="G162" s="223"/>
      <c r="H162" s="224"/>
      <c r="I162" s="224">
        <f>SUM(I163:I166)</f>
        <v>1.46</v>
      </c>
      <c r="J162" s="188">
        <f>SUM(J163:J166)</f>
        <v>1.06</v>
      </c>
      <c r="K162" s="49">
        <f>TRUNC((J162+I162),2)</f>
        <v>2.52</v>
      </c>
    </row>
    <row r="163" spans="1:11" ht="25.5" hidden="1">
      <c r="A163" s="54"/>
      <c r="B163" s="57" t="s">
        <v>26</v>
      </c>
      <c r="C163" s="57" t="s">
        <v>253</v>
      </c>
      <c r="D163" s="68" t="s">
        <v>254</v>
      </c>
      <c r="E163" s="57" t="s">
        <v>1</v>
      </c>
      <c r="F163" s="58">
        <v>1.19</v>
      </c>
      <c r="G163" s="59">
        <v>1.21</v>
      </c>
      <c r="H163" s="48"/>
      <c r="I163" s="48">
        <f t="shared" ref="I163:I164" si="44">TRUNC((G163*F163),2)</f>
        <v>1.43</v>
      </c>
      <c r="J163" s="49">
        <v>0</v>
      </c>
      <c r="K163" s="49"/>
    </row>
    <row r="164" spans="1:11" ht="25.5" hidden="1">
      <c r="A164" s="54"/>
      <c r="B164" s="57" t="s">
        <v>26</v>
      </c>
      <c r="C164" s="57" t="s">
        <v>41</v>
      </c>
      <c r="D164" s="68" t="s">
        <v>42</v>
      </c>
      <c r="E164" s="57" t="s">
        <v>19</v>
      </c>
      <c r="F164" s="58">
        <v>8.9999999999999993E-3</v>
      </c>
      <c r="G164" s="59">
        <v>3.4</v>
      </c>
      <c r="H164" s="48"/>
      <c r="I164" s="48">
        <f t="shared" si="44"/>
        <v>0.03</v>
      </c>
      <c r="J164" s="49">
        <v>0</v>
      </c>
      <c r="K164" s="49"/>
    </row>
    <row r="165" spans="1:11" hidden="1">
      <c r="A165" s="54"/>
      <c r="B165" s="57" t="s">
        <v>21</v>
      </c>
      <c r="C165" s="57" t="s">
        <v>38</v>
      </c>
      <c r="D165" s="68" t="s">
        <v>24</v>
      </c>
      <c r="E165" s="57" t="s">
        <v>17</v>
      </c>
      <c r="F165" s="58">
        <v>0.03</v>
      </c>
      <c r="G165" s="59">
        <v>15.51</v>
      </c>
      <c r="H165" s="48"/>
      <c r="I165" s="48">
        <v>0</v>
      </c>
      <c r="J165" s="49">
        <f t="shared" ref="J165:J166" si="45">TRUNC((G165*F165),2)</f>
        <v>0.46</v>
      </c>
      <c r="K165" s="57"/>
    </row>
    <row r="166" spans="1:11" hidden="1">
      <c r="A166" s="54"/>
      <c r="B166" s="57" t="s">
        <v>21</v>
      </c>
      <c r="C166" s="57" t="s">
        <v>37</v>
      </c>
      <c r="D166" s="68" t="s">
        <v>25</v>
      </c>
      <c r="E166" s="57" t="s">
        <v>17</v>
      </c>
      <c r="F166" s="58">
        <v>0.03</v>
      </c>
      <c r="G166" s="59">
        <v>20.170000000000002</v>
      </c>
      <c r="H166" s="48"/>
      <c r="I166" s="48">
        <v>0</v>
      </c>
      <c r="J166" s="49">
        <f t="shared" si="45"/>
        <v>0.6</v>
      </c>
      <c r="K166" s="57"/>
    </row>
    <row r="167" spans="1:11">
      <c r="A167" s="54"/>
      <c r="B167" s="54"/>
      <c r="C167" s="54"/>
      <c r="D167" s="225"/>
      <c r="E167" s="54"/>
    </row>
    <row r="168" spans="1:11" ht="38.25">
      <c r="A168" s="66">
        <v>29</v>
      </c>
      <c r="B168" s="191" t="s">
        <v>27</v>
      </c>
      <c r="C168" s="191" t="s">
        <v>155</v>
      </c>
      <c r="D168" s="221" t="s">
        <v>156</v>
      </c>
      <c r="E168" s="191" t="s">
        <v>1</v>
      </c>
      <c r="F168" s="222" t="s">
        <v>20</v>
      </c>
      <c r="G168" s="223"/>
      <c r="H168" s="224"/>
      <c r="I168" s="224">
        <f>SUM(I169:I172)</f>
        <v>3.0999999999999996</v>
      </c>
      <c r="J168" s="188">
        <f>SUM(J169:J172)</f>
        <v>1.42</v>
      </c>
      <c r="K168" s="49">
        <f>TRUNC((J168+I168),2)</f>
        <v>4.5199999999999996</v>
      </c>
    </row>
    <row r="169" spans="1:11" hidden="1">
      <c r="A169" s="54"/>
      <c r="B169" s="57" t="s">
        <v>21</v>
      </c>
      <c r="C169" s="57" t="s">
        <v>38</v>
      </c>
      <c r="D169" s="68" t="s">
        <v>24</v>
      </c>
      <c r="E169" s="57" t="s">
        <v>17</v>
      </c>
      <c r="F169" s="58">
        <v>0.04</v>
      </c>
      <c r="G169" s="59">
        <v>15.51</v>
      </c>
      <c r="H169" s="48"/>
      <c r="I169" s="48">
        <v>0</v>
      </c>
      <c r="J169" s="49">
        <f t="shared" ref="J169:J170" si="46">TRUNC((G169*F169),2)</f>
        <v>0.62</v>
      </c>
      <c r="K169" s="49"/>
    </row>
    <row r="170" spans="1:11" hidden="1">
      <c r="A170" s="54"/>
      <c r="B170" s="57" t="s">
        <v>21</v>
      </c>
      <c r="C170" s="57" t="s">
        <v>37</v>
      </c>
      <c r="D170" s="68" t="s">
        <v>25</v>
      </c>
      <c r="E170" s="57" t="s">
        <v>17</v>
      </c>
      <c r="F170" s="58">
        <v>0.04</v>
      </c>
      <c r="G170" s="59">
        <v>20.170000000000002</v>
      </c>
      <c r="H170" s="48"/>
      <c r="I170" s="48">
        <v>0</v>
      </c>
      <c r="J170" s="49">
        <f t="shared" si="46"/>
        <v>0.8</v>
      </c>
      <c r="K170" s="49"/>
    </row>
    <row r="171" spans="1:11" ht="38.25" hidden="1">
      <c r="A171" s="54"/>
      <c r="B171" s="57" t="s">
        <v>26</v>
      </c>
      <c r="C171" s="57" t="s">
        <v>157</v>
      </c>
      <c r="D171" s="68" t="s">
        <v>158</v>
      </c>
      <c r="E171" s="57" t="s">
        <v>1</v>
      </c>
      <c r="F171" s="58">
        <v>1.19</v>
      </c>
      <c r="G171" s="59">
        <v>2.58</v>
      </c>
      <c r="H171" s="48"/>
      <c r="I171" s="48">
        <f t="shared" ref="I171:I172" si="47">TRUNC((G171*F171),2)</f>
        <v>3.07</v>
      </c>
      <c r="J171" s="49">
        <v>0</v>
      </c>
      <c r="K171" s="57"/>
    </row>
    <row r="172" spans="1:11" ht="25.5" hidden="1">
      <c r="A172" s="54"/>
      <c r="B172" s="57" t="s">
        <v>26</v>
      </c>
      <c r="C172" s="57" t="s">
        <v>41</v>
      </c>
      <c r="D172" s="68" t="s">
        <v>42</v>
      </c>
      <c r="E172" s="57" t="s">
        <v>19</v>
      </c>
      <c r="F172" s="58">
        <v>8.9999999999999993E-3</v>
      </c>
      <c r="G172" s="59">
        <v>3.4</v>
      </c>
      <c r="H172" s="48"/>
      <c r="I172" s="48">
        <f t="shared" si="47"/>
        <v>0.03</v>
      </c>
      <c r="J172" s="49">
        <v>0</v>
      </c>
      <c r="K172" s="57"/>
    </row>
    <row r="173" spans="1:11">
      <c r="A173" s="54"/>
      <c r="B173" s="54"/>
      <c r="C173" s="54"/>
      <c r="D173" s="225"/>
      <c r="E173" s="54"/>
    </row>
    <row r="174" spans="1:11" ht="38.25">
      <c r="A174" s="66">
        <v>30</v>
      </c>
      <c r="B174" s="191" t="s">
        <v>27</v>
      </c>
      <c r="C174" s="191" t="s">
        <v>159</v>
      </c>
      <c r="D174" s="221" t="s">
        <v>160</v>
      </c>
      <c r="E174" s="191" t="s">
        <v>1</v>
      </c>
      <c r="F174" s="222" t="s">
        <v>20</v>
      </c>
      <c r="G174" s="223"/>
      <c r="H174" s="224"/>
      <c r="I174" s="224">
        <f>SUM(I175:I178)</f>
        <v>4.2300000000000004</v>
      </c>
      <c r="J174" s="188">
        <f>SUM(J175:J178)</f>
        <v>1.84</v>
      </c>
      <c r="K174" s="49">
        <f>TRUNC((J174+I174),2)</f>
        <v>6.07</v>
      </c>
    </row>
    <row r="175" spans="1:11" hidden="1">
      <c r="A175" s="54"/>
      <c r="B175" s="57" t="s">
        <v>21</v>
      </c>
      <c r="C175" s="57" t="s">
        <v>38</v>
      </c>
      <c r="D175" s="68" t="s">
        <v>24</v>
      </c>
      <c r="E175" s="57" t="s">
        <v>17</v>
      </c>
      <c r="F175" s="58">
        <v>5.1999999999999998E-2</v>
      </c>
      <c r="G175" s="59">
        <v>15.51</v>
      </c>
      <c r="H175" s="48"/>
      <c r="I175" s="48">
        <v>0</v>
      </c>
      <c r="J175" s="49">
        <f t="shared" ref="J175:J176" si="48">TRUNC((G175*F175),2)</f>
        <v>0.8</v>
      </c>
      <c r="K175" s="49"/>
    </row>
    <row r="176" spans="1:11" hidden="1">
      <c r="A176" s="54"/>
      <c r="B176" s="57" t="s">
        <v>21</v>
      </c>
      <c r="C176" s="57" t="s">
        <v>37</v>
      </c>
      <c r="D176" s="68" t="s">
        <v>25</v>
      </c>
      <c r="E176" s="57" t="s">
        <v>17</v>
      </c>
      <c r="F176" s="58">
        <v>5.1999999999999998E-2</v>
      </c>
      <c r="G176" s="59">
        <v>20.170000000000002</v>
      </c>
      <c r="H176" s="48"/>
      <c r="I176" s="48">
        <v>0</v>
      </c>
      <c r="J176" s="49">
        <f t="shared" si="48"/>
        <v>1.04</v>
      </c>
      <c r="K176" s="49"/>
    </row>
    <row r="177" spans="1:11" ht="38.25" hidden="1">
      <c r="A177" s="54"/>
      <c r="B177" s="57" t="s">
        <v>26</v>
      </c>
      <c r="C177" s="57" t="s">
        <v>161</v>
      </c>
      <c r="D177" s="68" t="s">
        <v>162</v>
      </c>
      <c r="E177" s="57" t="s">
        <v>1</v>
      </c>
      <c r="F177" s="58">
        <v>1.19</v>
      </c>
      <c r="G177" s="59">
        <v>3.53</v>
      </c>
      <c r="H177" s="48"/>
      <c r="I177" s="48">
        <f t="shared" ref="I177:I178" si="49">TRUNC((G177*F177),2)</f>
        <v>4.2</v>
      </c>
      <c r="J177" s="49">
        <v>0</v>
      </c>
      <c r="K177" s="57"/>
    </row>
    <row r="178" spans="1:11" ht="25.5" hidden="1">
      <c r="A178" s="54"/>
      <c r="B178" s="57" t="s">
        <v>26</v>
      </c>
      <c r="C178" s="57" t="s">
        <v>41</v>
      </c>
      <c r="D178" s="68" t="s">
        <v>42</v>
      </c>
      <c r="E178" s="57" t="s">
        <v>19</v>
      </c>
      <c r="F178" s="58">
        <v>8.9999999999999993E-3</v>
      </c>
      <c r="G178" s="59">
        <v>3.4</v>
      </c>
      <c r="H178" s="48"/>
      <c r="I178" s="48">
        <f t="shared" si="49"/>
        <v>0.03</v>
      </c>
      <c r="J178" s="49">
        <v>0</v>
      </c>
      <c r="K178" s="57"/>
    </row>
    <row r="179" spans="1:11">
      <c r="A179" s="54"/>
      <c r="B179" s="54"/>
      <c r="C179" s="54"/>
      <c r="D179" s="225"/>
      <c r="E179" s="54"/>
    </row>
    <row r="180" spans="1:11" ht="38.25">
      <c r="A180" s="66">
        <v>31</v>
      </c>
      <c r="B180" s="191" t="s">
        <v>27</v>
      </c>
      <c r="C180" s="191" t="s">
        <v>163</v>
      </c>
      <c r="D180" s="221" t="s">
        <v>164</v>
      </c>
      <c r="E180" s="191" t="s">
        <v>1</v>
      </c>
      <c r="F180" s="222" t="s">
        <v>20</v>
      </c>
      <c r="G180" s="223"/>
      <c r="H180" s="224"/>
      <c r="I180" s="224">
        <f>SUM(I181:I184)</f>
        <v>6.75</v>
      </c>
      <c r="J180" s="188">
        <f>SUM(J181:J184)</f>
        <v>2.74</v>
      </c>
      <c r="K180" s="49">
        <f>TRUNC((J180+I180),2)</f>
        <v>9.49</v>
      </c>
    </row>
    <row r="181" spans="1:11" hidden="1">
      <c r="A181" s="54"/>
      <c r="B181" s="57" t="s">
        <v>21</v>
      </c>
      <c r="C181" s="57" t="s">
        <v>38</v>
      </c>
      <c r="D181" s="68" t="s">
        <v>24</v>
      </c>
      <c r="E181" s="57" t="s">
        <v>17</v>
      </c>
      <c r="F181" s="58">
        <v>7.6999999999999999E-2</v>
      </c>
      <c r="G181" s="59">
        <v>15.51</v>
      </c>
      <c r="H181" s="48"/>
      <c r="I181" s="48">
        <v>0</v>
      </c>
      <c r="J181" s="49">
        <f t="shared" ref="J181:J182" si="50">TRUNC((G181*F181),2)</f>
        <v>1.19</v>
      </c>
      <c r="K181" s="49"/>
    </row>
    <row r="182" spans="1:11" hidden="1">
      <c r="A182" s="54"/>
      <c r="B182" s="57" t="s">
        <v>21</v>
      </c>
      <c r="C182" s="57" t="s">
        <v>37</v>
      </c>
      <c r="D182" s="68" t="s">
        <v>25</v>
      </c>
      <c r="E182" s="57" t="s">
        <v>17</v>
      </c>
      <c r="F182" s="58">
        <v>7.6999999999999999E-2</v>
      </c>
      <c r="G182" s="59">
        <v>20.170000000000002</v>
      </c>
      <c r="H182" s="48"/>
      <c r="I182" s="48">
        <v>0</v>
      </c>
      <c r="J182" s="49">
        <f t="shared" si="50"/>
        <v>1.55</v>
      </c>
      <c r="K182" s="49"/>
    </row>
    <row r="183" spans="1:11" ht="25.5" hidden="1">
      <c r="A183" s="54"/>
      <c r="B183" s="57" t="s">
        <v>26</v>
      </c>
      <c r="C183" s="57" t="s">
        <v>165</v>
      </c>
      <c r="D183" s="68" t="s">
        <v>166</v>
      </c>
      <c r="E183" s="57" t="s">
        <v>1</v>
      </c>
      <c r="F183" s="58">
        <v>1.19</v>
      </c>
      <c r="G183" s="59">
        <v>5.65</v>
      </c>
      <c r="H183" s="48"/>
      <c r="I183" s="48">
        <f t="shared" ref="I183:I184" si="51">TRUNC((G183*F183),2)</f>
        <v>6.72</v>
      </c>
      <c r="J183" s="49">
        <v>0</v>
      </c>
      <c r="K183" s="57"/>
    </row>
    <row r="184" spans="1:11" ht="25.5" hidden="1">
      <c r="A184" s="54"/>
      <c r="B184" s="57" t="s">
        <v>26</v>
      </c>
      <c r="C184" s="57" t="s">
        <v>41</v>
      </c>
      <c r="D184" s="68" t="s">
        <v>42</v>
      </c>
      <c r="E184" s="57" t="s">
        <v>19</v>
      </c>
      <c r="F184" s="58">
        <v>8.9999999999999993E-3</v>
      </c>
      <c r="G184" s="59">
        <v>3.4</v>
      </c>
      <c r="H184" s="48"/>
      <c r="I184" s="48">
        <f t="shared" si="51"/>
        <v>0.03</v>
      </c>
      <c r="J184" s="49">
        <v>0</v>
      </c>
      <c r="K184" s="57"/>
    </row>
    <row r="185" spans="1:11">
      <c r="A185" s="54"/>
      <c r="B185" s="54"/>
      <c r="C185" s="54"/>
      <c r="D185" s="225"/>
      <c r="E185" s="54"/>
    </row>
    <row r="186" spans="1:11" ht="38.25">
      <c r="A186" s="66">
        <v>32</v>
      </c>
      <c r="B186" s="191" t="s">
        <v>27</v>
      </c>
      <c r="C186" s="192">
        <v>92982</v>
      </c>
      <c r="D186" s="221" t="s">
        <v>167</v>
      </c>
      <c r="E186" s="191" t="s">
        <v>1</v>
      </c>
      <c r="F186" s="222" t="s">
        <v>20</v>
      </c>
      <c r="G186" s="223"/>
      <c r="H186" s="224"/>
      <c r="I186" s="224">
        <f>SUM(I187:I190)</f>
        <v>8.93</v>
      </c>
      <c r="J186" s="188">
        <f>SUM(J187:J190)</f>
        <v>0.46</v>
      </c>
      <c r="K186" s="49">
        <f>TRUNC((J186+I186),2)</f>
        <v>9.39</v>
      </c>
    </row>
    <row r="187" spans="1:11" hidden="1">
      <c r="A187" s="54"/>
      <c r="B187" s="57" t="s">
        <v>21</v>
      </c>
      <c r="C187" s="57" t="s">
        <v>38</v>
      </c>
      <c r="D187" s="68" t="s">
        <v>24</v>
      </c>
      <c r="E187" s="57" t="s">
        <v>17</v>
      </c>
      <c r="F187" s="58">
        <v>1.2999999999999999E-2</v>
      </c>
      <c r="G187" s="59">
        <v>15.51</v>
      </c>
      <c r="H187" s="48"/>
      <c r="I187" s="48">
        <v>0</v>
      </c>
      <c r="J187" s="49">
        <f t="shared" ref="J187:J188" si="52">TRUNC((G187*F187),2)</f>
        <v>0.2</v>
      </c>
      <c r="K187" s="49"/>
    </row>
    <row r="188" spans="1:11" hidden="1">
      <c r="A188" s="54"/>
      <c r="B188" s="57" t="s">
        <v>21</v>
      </c>
      <c r="C188" s="57" t="s">
        <v>37</v>
      </c>
      <c r="D188" s="68" t="s">
        <v>25</v>
      </c>
      <c r="E188" s="57" t="s">
        <v>17</v>
      </c>
      <c r="F188" s="58">
        <v>1.2999999999999999E-2</v>
      </c>
      <c r="G188" s="59">
        <v>20.170000000000002</v>
      </c>
      <c r="H188" s="48"/>
      <c r="I188" s="48">
        <v>0</v>
      </c>
      <c r="J188" s="49">
        <f t="shared" si="52"/>
        <v>0.26</v>
      </c>
      <c r="K188" s="49"/>
    </row>
    <row r="189" spans="1:11" ht="38.25" hidden="1">
      <c r="A189" s="54"/>
      <c r="B189" s="57" t="s">
        <v>26</v>
      </c>
      <c r="C189" s="57">
        <v>995</v>
      </c>
      <c r="D189" s="68" t="s">
        <v>168</v>
      </c>
      <c r="E189" s="57" t="s">
        <v>1</v>
      </c>
      <c r="F189" s="58">
        <v>1.0269999999999999</v>
      </c>
      <c r="G189" s="59">
        <v>8.67</v>
      </c>
      <c r="H189" s="48"/>
      <c r="I189" s="48">
        <f t="shared" ref="I189:I190" si="53">TRUNC((G189*F189),2)</f>
        <v>8.9</v>
      </c>
      <c r="J189" s="49">
        <v>0</v>
      </c>
      <c r="K189" s="57"/>
    </row>
    <row r="190" spans="1:11" ht="25.5" hidden="1">
      <c r="A190" s="54"/>
      <c r="B190" s="57" t="s">
        <v>26</v>
      </c>
      <c r="C190" s="57" t="s">
        <v>41</v>
      </c>
      <c r="D190" s="68" t="s">
        <v>42</v>
      </c>
      <c r="E190" s="57" t="s">
        <v>19</v>
      </c>
      <c r="F190" s="58">
        <v>0.01</v>
      </c>
      <c r="G190" s="59">
        <v>3.4</v>
      </c>
      <c r="H190" s="48"/>
      <c r="I190" s="48">
        <f t="shared" si="53"/>
        <v>0.03</v>
      </c>
      <c r="J190" s="49">
        <v>0</v>
      </c>
      <c r="K190" s="57"/>
    </row>
    <row r="191" spans="1:11">
      <c r="A191" s="54"/>
      <c r="B191" s="54"/>
      <c r="C191" s="54"/>
      <c r="D191" s="225"/>
      <c r="E191" s="54"/>
    </row>
    <row r="192" spans="1:11" ht="38.25">
      <c r="A192" s="66">
        <v>33</v>
      </c>
      <c r="B192" s="191" t="s">
        <v>27</v>
      </c>
      <c r="C192" s="192">
        <v>92984</v>
      </c>
      <c r="D192" s="221" t="s">
        <v>169</v>
      </c>
      <c r="E192" s="191" t="s">
        <v>1</v>
      </c>
      <c r="F192" s="222" t="s">
        <v>20</v>
      </c>
      <c r="G192" s="223"/>
      <c r="H192" s="224"/>
      <c r="I192" s="224">
        <f>SUM(I193:I196)</f>
        <v>13.42</v>
      </c>
      <c r="J192" s="188">
        <f>SUM(J193:J196)</f>
        <v>2.2800000000000002</v>
      </c>
      <c r="K192" s="49">
        <f>TRUNC((J192+I192),2)</f>
        <v>15.7</v>
      </c>
    </row>
    <row r="193" spans="1:11" hidden="1">
      <c r="A193" s="54"/>
      <c r="B193" s="57" t="s">
        <v>21</v>
      </c>
      <c r="C193" s="57" t="s">
        <v>38</v>
      </c>
      <c r="D193" s="68" t="s">
        <v>24</v>
      </c>
      <c r="E193" s="57" t="s">
        <v>17</v>
      </c>
      <c r="F193" s="58">
        <v>6.4000000000000001E-2</v>
      </c>
      <c r="G193" s="59">
        <v>15.51</v>
      </c>
      <c r="H193" s="48"/>
      <c r="I193" s="48">
        <v>0</v>
      </c>
      <c r="J193" s="49">
        <f t="shared" ref="J193:J194" si="54">TRUNC((G193*F193),2)</f>
        <v>0.99</v>
      </c>
      <c r="K193" s="49"/>
    </row>
    <row r="194" spans="1:11" hidden="1">
      <c r="A194" s="54"/>
      <c r="B194" s="57" t="s">
        <v>21</v>
      </c>
      <c r="C194" s="57" t="s">
        <v>37</v>
      </c>
      <c r="D194" s="68" t="s">
        <v>25</v>
      </c>
      <c r="E194" s="57" t="s">
        <v>17</v>
      </c>
      <c r="F194" s="58">
        <v>6.4000000000000001E-2</v>
      </c>
      <c r="G194" s="59">
        <v>20.170000000000002</v>
      </c>
      <c r="H194" s="48"/>
      <c r="I194" s="48">
        <v>0</v>
      </c>
      <c r="J194" s="49">
        <f t="shared" si="54"/>
        <v>1.29</v>
      </c>
      <c r="K194" s="49"/>
    </row>
    <row r="195" spans="1:11" ht="38.25" hidden="1">
      <c r="A195" s="54"/>
      <c r="B195" s="57" t="s">
        <v>26</v>
      </c>
      <c r="C195" s="57">
        <v>996</v>
      </c>
      <c r="D195" s="68" t="s">
        <v>170</v>
      </c>
      <c r="E195" s="57" t="s">
        <v>1</v>
      </c>
      <c r="F195" s="58">
        <v>1.0149999999999999</v>
      </c>
      <c r="G195" s="59">
        <v>13.2</v>
      </c>
      <c r="H195" s="48"/>
      <c r="I195" s="48">
        <f t="shared" ref="I195:I196" si="55">TRUNC((G195*F195),2)</f>
        <v>13.39</v>
      </c>
      <c r="J195" s="49">
        <v>0</v>
      </c>
      <c r="K195" s="57"/>
    </row>
    <row r="196" spans="1:11" ht="25.5" hidden="1">
      <c r="A196" s="54"/>
      <c r="B196" s="57" t="s">
        <v>26</v>
      </c>
      <c r="C196" s="57" t="s">
        <v>41</v>
      </c>
      <c r="D196" s="68" t="s">
        <v>42</v>
      </c>
      <c r="E196" s="57" t="s">
        <v>19</v>
      </c>
      <c r="F196" s="58">
        <v>8.9999999999999993E-3</v>
      </c>
      <c r="G196" s="59">
        <v>3.4</v>
      </c>
      <c r="H196" s="48"/>
      <c r="I196" s="48">
        <f t="shared" si="55"/>
        <v>0.03</v>
      </c>
      <c r="J196" s="49">
        <v>0</v>
      </c>
      <c r="K196" s="57"/>
    </row>
    <row r="197" spans="1:11">
      <c r="A197" s="54"/>
      <c r="B197" s="55"/>
      <c r="C197" s="55"/>
      <c r="D197" s="75"/>
      <c r="E197" s="55"/>
      <c r="F197" s="64"/>
      <c r="G197" s="67"/>
      <c r="H197" s="220"/>
      <c r="I197" s="220"/>
      <c r="J197" s="56"/>
      <c r="K197" s="55"/>
    </row>
    <row r="198" spans="1:11" ht="38.25">
      <c r="A198" s="66">
        <v>34</v>
      </c>
      <c r="B198" s="191" t="s">
        <v>27</v>
      </c>
      <c r="C198" s="192">
        <v>92986</v>
      </c>
      <c r="D198" s="221" t="s">
        <v>171</v>
      </c>
      <c r="E198" s="191" t="s">
        <v>1</v>
      </c>
      <c r="F198" s="222" t="s">
        <v>20</v>
      </c>
      <c r="G198" s="223"/>
      <c r="H198" s="224"/>
      <c r="I198" s="224">
        <f>SUM(I199:I202)</f>
        <v>18.490000000000002</v>
      </c>
      <c r="J198" s="188">
        <f>SUM(J199:J202)</f>
        <v>2.5999999999999996</v>
      </c>
      <c r="K198" s="49">
        <f>TRUNC((J198+I198),2)</f>
        <v>21.09</v>
      </c>
    </row>
    <row r="199" spans="1:11" hidden="1">
      <c r="A199" s="54"/>
      <c r="B199" s="57" t="s">
        <v>21</v>
      </c>
      <c r="C199" s="57" t="s">
        <v>38</v>
      </c>
      <c r="D199" s="68" t="s">
        <v>24</v>
      </c>
      <c r="E199" s="57" t="s">
        <v>17</v>
      </c>
      <c r="F199" s="58">
        <v>7.2999999999999995E-2</v>
      </c>
      <c r="G199" s="59">
        <v>15.51</v>
      </c>
      <c r="H199" s="48"/>
      <c r="I199" s="48">
        <v>0</v>
      </c>
      <c r="J199" s="49">
        <f t="shared" ref="J199:J200" si="56">TRUNC((G199*F199),2)</f>
        <v>1.1299999999999999</v>
      </c>
      <c r="K199" s="49"/>
    </row>
    <row r="200" spans="1:11" hidden="1">
      <c r="A200" s="54"/>
      <c r="B200" s="57" t="s">
        <v>21</v>
      </c>
      <c r="C200" s="57" t="s">
        <v>37</v>
      </c>
      <c r="D200" s="68" t="s">
        <v>25</v>
      </c>
      <c r="E200" s="57" t="s">
        <v>17</v>
      </c>
      <c r="F200" s="58">
        <v>7.2999999999999995E-2</v>
      </c>
      <c r="G200" s="59">
        <v>20.170000000000002</v>
      </c>
      <c r="H200" s="48"/>
      <c r="I200" s="48">
        <v>0</v>
      </c>
      <c r="J200" s="49">
        <f t="shared" si="56"/>
        <v>1.47</v>
      </c>
      <c r="K200" s="49"/>
    </row>
    <row r="201" spans="1:11" ht="38.25" hidden="1">
      <c r="A201" s="54"/>
      <c r="B201" s="57" t="s">
        <v>26</v>
      </c>
      <c r="C201" s="57">
        <v>1019</v>
      </c>
      <c r="D201" s="68" t="s">
        <v>172</v>
      </c>
      <c r="E201" s="57" t="s">
        <v>1</v>
      </c>
      <c r="F201" s="58">
        <v>1.0149999999999999</v>
      </c>
      <c r="G201" s="59">
        <v>18.190000000000001</v>
      </c>
      <c r="H201" s="48"/>
      <c r="I201" s="48">
        <f t="shared" ref="I201:I202" si="57">TRUNC((G201*F201),2)</f>
        <v>18.46</v>
      </c>
      <c r="J201" s="49">
        <v>0</v>
      </c>
      <c r="K201" s="57"/>
    </row>
    <row r="202" spans="1:11" ht="25.5" hidden="1">
      <c r="A202" s="54"/>
      <c r="B202" s="57" t="s">
        <v>26</v>
      </c>
      <c r="C202" s="57" t="s">
        <v>41</v>
      </c>
      <c r="D202" s="68" t="s">
        <v>42</v>
      </c>
      <c r="E202" s="57" t="s">
        <v>19</v>
      </c>
      <c r="F202" s="58">
        <v>8.9999999999999993E-3</v>
      </c>
      <c r="G202" s="59">
        <v>3.4</v>
      </c>
      <c r="H202" s="48"/>
      <c r="I202" s="48">
        <f t="shared" si="57"/>
        <v>0.03</v>
      </c>
      <c r="J202" s="49">
        <v>0</v>
      </c>
      <c r="K202" s="57"/>
    </row>
    <row r="203" spans="1:11">
      <c r="A203" s="54"/>
      <c r="B203" s="54"/>
      <c r="C203" s="54"/>
      <c r="D203" s="225"/>
      <c r="E203" s="54"/>
    </row>
    <row r="204" spans="1:11" ht="25.5">
      <c r="A204" s="34">
        <v>35</v>
      </c>
      <c r="B204" s="226" t="s">
        <v>27</v>
      </c>
      <c r="C204" s="227" t="s">
        <v>73</v>
      </c>
      <c r="D204" s="228" t="s">
        <v>178</v>
      </c>
      <c r="E204" s="57" t="s">
        <v>19</v>
      </c>
      <c r="F204" s="230"/>
      <c r="G204" s="231"/>
      <c r="H204" s="232"/>
      <c r="I204" s="224">
        <f>SUM(I205:I209)</f>
        <v>1108.9000000000001</v>
      </c>
      <c r="J204" s="188">
        <f>SUM(J205:J209)</f>
        <v>86.72</v>
      </c>
      <c r="K204" s="49">
        <f>TRUNC((J204+I204),2)</f>
        <v>1195.6199999999999</v>
      </c>
    </row>
    <row r="205" spans="1:11" ht="51">
      <c r="A205" s="39"/>
      <c r="B205" s="57" t="s">
        <v>21</v>
      </c>
      <c r="C205" s="57" t="s">
        <v>81</v>
      </c>
      <c r="D205" s="68" t="s">
        <v>82</v>
      </c>
      <c r="E205" s="57" t="s">
        <v>22</v>
      </c>
      <c r="F205" s="58">
        <v>0.8</v>
      </c>
      <c r="G205" s="59">
        <v>123.59</v>
      </c>
      <c r="H205" s="48"/>
      <c r="I205" s="48">
        <f t="shared" ref="I205" si="58">TRUNC((G205*F205),2)</f>
        <v>98.87</v>
      </c>
      <c r="J205" s="49">
        <v>0</v>
      </c>
      <c r="K205" s="57"/>
    </row>
    <row r="206" spans="1:11">
      <c r="A206" s="39"/>
      <c r="B206" s="57" t="s">
        <v>21</v>
      </c>
      <c r="C206" s="57" t="s">
        <v>37</v>
      </c>
      <c r="D206" s="68" t="s">
        <v>25</v>
      </c>
      <c r="E206" s="57" t="s">
        <v>17</v>
      </c>
      <c r="F206" s="58">
        <v>1.2</v>
      </c>
      <c r="G206" s="59">
        <v>20.170000000000002</v>
      </c>
      <c r="H206" s="48"/>
      <c r="I206" s="48">
        <v>0</v>
      </c>
      <c r="J206" s="49">
        <f t="shared" ref="J206:J207" si="59">TRUNC((G206*F206),2)</f>
        <v>24.2</v>
      </c>
      <c r="K206" s="57"/>
    </row>
    <row r="207" spans="1:11">
      <c r="A207" s="39"/>
      <c r="B207" s="57" t="s">
        <v>21</v>
      </c>
      <c r="C207" s="57" t="s">
        <v>39</v>
      </c>
      <c r="D207" s="68" t="s">
        <v>23</v>
      </c>
      <c r="E207" s="57" t="s">
        <v>17</v>
      </c>
      <c r="F207" s="58">
        <v>4</v>
      </c>
      <c r="G207" s="59">
        <v>15.63</v>
      </c>
      <c r="H207" s="48"/>
      <c r="I207" s="48">
        <v>0</v>
      </c>
      <c r="J207" s="49">
        <f t="shared" si="59"/>
        <v>62.52</v>
      </c>
      <c r="K207" s="57"/>
    </row>
    <row r="208" spans="1:11" ht="31.15" customHeight="1">
      <c r="A208" s="39"/>
      <c r="B208" s="57" t="s">
        <v>21</v>
      </c>
      <c r="C208" s="57">
        <v>94975</v>
      </c>
      <c r="D208" s="68" t="s">
        <v>117</v>
      </c>
      <c r="E208" s="57" t="s">
        <v>54</v>
      </c>
      <c r="F208" s="58">
        <v>0.09</v>
      </c>
      <c r="G208" s="59">
        <v>386.36</v>
      </c>
      <c r="H208" s="48"/>
      <c r="I208" s="48">
        <f t="shared" ref="I208:I209" si="60">TRUNC((G208*F208),2)</f>
        <v>34.770000000000003</v>
      </c>
      <c r="J208" s="49">
        <v>0</v>
      </c>
      <c r="K208" s="57"/>
    </row>
    <row r="209" spans="1:11" ht="25.5">
      <c r="A209" s="39"/>
      <c r="B209" s="57" t="s">
        <v>146</v>
      </c>
      <c r="C209" s="57">
        <v>14162</v>
      </c>
      <c r="D209" s="68" t="s">
        <v>179</v>
      </c>
      <c r="E209" s="57" t="s">
        <v>19</v>
      </c>
      <c r="F209" s="58">
        <v>1</v>
      </c>
      <c r="G209" s="59">
        <v>975.26</v>
      </c>
      <c r="H209" s="48"/>
      <c r="I209" s="48">
        <f t="shared" si="60"/>
        <v>975.26</v>
      </c>
      <c r="J209" s="49">
        <v>0</v>
      </c>
      <c r="K209" s="57"/>
    </row>
    <row r="210" spans="1:11">
      <c r="A210" s="197"/>
      <c r="B210" s="281"/>
      <c r="C210" s="282"/>
      <c r="D210" s="283" t="s">
        <v>255</v>
      </c>
      <c r="E210" s="282"/>
      <c r="F210" s="284"/>
      <c r="G210" s="285"/>
      <c r="H210" s="286"/>
      <c r="I210" s="286"/>
      <c r="J210" s="287"/>
      <c r="K210" s="288"/>
    </row>
    <row r="212" spans="1:11" ht="38.25">
      <c r="A212" s="34">
        <v>36</v>
      </c>
      <c r="B212" s="226" t="s">
        <v>27</v>
      </c>
      <c r="C212" s="226" t="s">
        <v>73</v>
      </c>
      <c r="D212" s="228" t="s">
        <v>256</v>
      </c>
      <c r="E212" s="226" t="s">
        <v>19</v>
      </c>
      <c r="F212" s="226" t="s">
        <v>20</v>
      </c>
      <c r="G212" s="228"/>
      <c r="H212" s="228">
        <f>SUM(H213:H217)</f>
        <v>2319.4809999999998</v>
      </c>
      <c r="I212" s="289">
        <f>SUM(I213:I217)</f>
        <v>2319.4700000000003</v>
      </c>
      <c r="J212" s="289">
        <f>SUM(J213:J217)</f>
        <v>125.63</v>
      </c>
      <c r="K212" s="290">
        <f>TRUNC((J212+I212),2)</f>
        <v>2445.1</v>
      </c>
    </row>
    <row r="213" spans="1:11">
      <c r="B213" s="57" t="s">
        <v>26</v>
      </c>
      <c r="C213" s="57" t="s">
        <v>28</v>
      </c>
      <c r="D213" s="68" t="s">
        <v>257</v>
      </c>
      <c r="E213" s="57" t="s">
        <v>19</v>
      </c>
      <c r="F213" s="58">
        <v>1</v>
      </c>
      <c r="G213" s="59">
        <v>2078.0700000000002</v>
      </c>
      <c r="H213" s="48">
        <f t="shared" ref="H213:H217" si="61">G213*F213</f>
        <v>2078.0700000000002</v>
      </c>
      <c r="I213" s="48">
        <f t="shared" ref="I213:I217" si="62">TRUNC((G213*F213),2)</f>
        <v>2078.0700000000002</v>
      </c>
      <c r="J213" s="49"/>
      <c r="K213" s="49"/>
    </row>
    <row r="214" spans="1:11">
      <c r="B214" s="57" t="s">
        <v>21</v>
      </c>
      <c r="C214" s="57" t="s">
        <v>39</v>
      </c>
      <c r="D214" s="68" t="s">
        <v>23</v>
      </c>
      <c r="E214" s="57" t="s">
        <v>17</v>
      </c>
      <c r="F214" s="58">
        <v>6</v>
      </c>
      <c r="G214" s="59">
        <v>15.63</v>
      </c>
      <c r="H214" s="48"/>
      <c r="I214" s="48"/>
      <c r="J214" s="49">
        <f t="shared" ref="J214:J216" si="63">TRUNC((G214*F214),2)</f>
        <v>93.78</v>
      </c>
      <c r="K214" s="49"/>
    </row>
    <row r="215" spans="1:11" ht="51">
      <c r="B215" s="57" t="s">
        <v>21</v>
      </c>
      <c r="C215" s="57" t="s">
        <v>81</v>
      </c>
      <c r="D215" s="68" t="s">
        <v>82</v>
      </c>
      <c r="E215" s="57" t="s">
        <v>22</v>
      </c>
      <c r="F215" s="58">
        <v>1.5</v>
      </c>
      <c r="G215" s="59">
        <v>123.59</v>
      </c>
      <c r="H215" s="48">
        <f t="shared" si="61"/>
        <v>185.38499999999999</v>
      </c>
      <c r="I215" s="48">
        <f t="shared" si="62"/>
        <v>185.38</v>
      </c>
      <c r="J215" s="49">
        <v>0</v>
      </c>
      <c r="K215" s="49"/>
    </row>
    <row r="216" spans="1:11" ht="25.5">
      <c r="B216" s="57" t="s">
        <v>21</v>
      </c>
      <c r="C216" s="57" t="s">
        <v>258</v>
      </c>
      <c r="D216" s="68" t="s">
        <v>259</v>
      </c>
      <c r="E216" s="57" t="s">
        <v>54</v>
      </c>
      <c r="F216" s="58">
        <v>0.2</v>
      </c>
      <c r="G216" s="59">
        <v>159.27000000000001</v>
      </c>
      <c r="H216" s="48"/>
      <c r="I216" s="49">
        <v>0</v>
      </c>
      <c r="J216" s="49">
        <f t="shared" si="63"/>
        <v>31.85</v>
      </c>
      <c r="K216" s="49"/>
    </row>
    <row r="217" spans="1:11" ht="25.5">
      <c r="B217" s="57" t="s">
        <v>21</v>
      </c>
      <c r="C217" s="57" t="s">
        <v>260</v>
      </c>
      <c r="D217" s="68" t="s">
        <v>261</v>
      </c>
      <c r="E217" s="57" t="s">
        <v>54</v>
      </c>
      <c r="F217" s="58">
        <v>0.2</v>
      </c>
      <c r="G217" s="59">
        <v>280.13</v>
      </c>
      <c r="H217" s="48">
        <f t="shared" si="61"/>
        <v>56.026000000000003</v>
      </c>
      <c r="I217" s="48">
        <f t="shared" si="62"/>
        <v>56.02</v>
      </c>
      <c r="J217" s="49">
        <v>0</v>
      </c>
      <c r="K217" s="49"/>
    </row>
    <row r="218" spans="1:11">
      <c r="B218" s="281"/>
      <c r="C218" s="282"/>
      <c r="D218" s="283" t="s">
        <v>262</v>
      </c>
      <c r="E218" s="282"/>
      <c r="F218" s="284"/>
      <c r="G218" s="285"/>
      <c r="H218" s="286"/>
      <c r="I218" s="286"/>
      <c r="J218" s="287"/>
      <c r="K218" s="288"/>
    </row>
  </sheetData>
  <mergeCells count="14">
    <mergeCell ref="A64:K64"/>
    <mergeCell ref="A6:K6"/>
    <mergeCell ref="A8:A9"/>
    <mergeCell ref="H8:H9"/>
    <mergeCell ref="I8:I9"/>
    <mergeCell ref="J8:J9"/>
    <mergeCell ref="K8:K9"/>
    <mergeCell ref="B8:B9"/>
    <mergeCell ref="C8:C9"/>
    <mergeCell ref="D8:D9"/>
    <mergeCell ref="E8:E9"/>
    <mergeCell ref="F8:F9"/>
    <mergeCell ref="G8:G9"/>
    <mergeCell ref="E7:K7"/>
  </mergeCells>
  <conditionalFormatting sqref="I17 K17 G29:H29 K29">
    <cfRule type="expression" dxfId="483" priority="11166" stopIfTrue="1">
      <formula>AND($B17&lt;&gt;"COMPOSICAO",$B17&lt;&gt;"INSUMO",$B17&lt;&gt;"")</formula>
    </cfRule>
    <cfRule type="expression" dxfId="482" priority="11167" stopIfTrue="1">
      <formula>AND(OR($B17="COMPOSICAO",$B17="INSUMO",$B17&lt;&gt;""),$B17&lt;&gt;"")</formula>
    </cfRule>
  </conditionalFormatting>
  <conditionalFormatting sqref="J17">
    <cfRule type="expression" dxfId="481" priority="10786" stopIfTrue="1">
      <formula>AND($B17&lt;&gt;"COMPOSICAO",$B17&lt;&gt;"INSUMO",$B17&lt;&gt;"")</formula>
    </cfRule>
    <cfRule type="expression" dxfId="480" priority="10787" stopIfTrue="1">
      <formula>AND(OR($B17="COMPOSICAO",$B17="INSUMO",$B17&lt;&gt;""),$B17&lt;&gt;"")</formula>
    </cfRule>
  </conditionalFormatting>
  <conditionalFormatting sqref="B40:F40 F31:F32">
    <cfRule type="expression" dxfId="479" priority="1031" stopIfTrue="1">
      <formula>AND($A31&lt;&gt;"COMPOSICAO",$A31&lt;&gt;"INSUMO",$A31&lt;&gt;"")</formula>
    </cfRule>
    <cfRule type="expression" dxfId="478" priority="1032" stopIfTrue="1">
      <formula>AND(OR($A31="COMPOSICAO",$A31="INSUMO",$A31&lt;&gt;""),$A31&lt;&gt;"")</formula>
    </cfRule>
  </conditionalFormatting>
  <conditionalFormatting sqref="B44:F48 B50:F50">
    <cfRule type="expression" dxfId="477" priority="997" stopIfTrue="1">
      <formula>AND($A44&lt;&gt;"COMPOSICAO",$A44&lt;&gt;"INSUMO",$A44&lt;&gt;"")</formula>
    </cfRule>
    <cfRule type="expression" dxfId="476" priority="998" stopIfTrue="1">
      <formula>AND(OR($A44="COMPOSICAO",$A44="INSUMO",$A44&lt;&gt;""),$A44&lt;&gt;"")</formula>
    </cfRule>
  </conditionalFormatting>
  <conditionalFormatting sqref="D42:F42 B42">
    <cfRule type="expression" dxfId="475" priority="995" stopIfTrue="1">
      <formula>AND($A42&lt;&gt;"COMPOSICAO",$A42&lt;&gt;"INSUMO",$A42&lt;&gt;"")</formula>
    </cfRule>
    <cfRule type="expression" dxfId="474" priority="996" stopIfTrue="1">
      <formula>AND(OR($A42="COMPOSICAO",$A42="INSUMO",$A42&lt;&gt;""),$A42&lt;&gt;"")</formula>
    </cfRule>
  </conditionalFormatting>
  <conditionalFormatting sqref="C42:F42">
    <cfRule type="expression" dxfId="473" priority="993" stopIfTrue="1">
      <formula>AND($A42&lt;&gt;"COMPOSICAO",$A42&lt;&gt;"INSUMO",$A42&lt;&gt;"")</formula>
    </cfRule>
    <cfRule type="expression" dxfId="472" priority="994" stopIfTrue="1">
      <formula>AND(OR($A42="COMPOSICAO",$A42="INSUMO",$A42&lt;&gt;""),$A42&lt;&gt;"")</formula>
    </cfRule>
  </conditionalFormatting>
  <conditionalFormatting sqref="B41:D41 F41">
    <cfRule type="expression" dxfId="471" priority="991" stopIfTrue="1">
      <formula>AND($B41&lt;&gt;"COMPOSICAO",$B41&lt;&gt;"INSUMO",$B41&lt;&gt;"")</formula>
    </cfRule>
    <cfRule type="expression" dxfId="470" priority="992" stopIfTrue="1">
      <formula>AND(OR($B41="COMPOSICAO",$B41="INSUMO",$B41&lt;&gt;""),$B41&lt;&gt;"")</formula>
    </cfRule>
  </conditionalFormatting>
  <conditionalFormatting sqref="K41">
    <cfRule type="expression" dxfId="469" priority="987" stopIfTrue="1">
      <formula>AND($B41&lt;&gt;"COMPOSICAO",$B41&lt;&gt;"INSUMO",$B41&lt;&gt;"")</formula>
    </cfRule>
    <cfRule type="expression" dxfId="468" priority="988" stopIfTrue="1">
      <formula>AND(OR($B41="COMPOSICAO",$B41="INSUMO",$B41&lt;&gt;""),$B41&lt;&gt;"")</formula>
    </cfRule>
  </conditionalFormatting>
  <conditionalFormatting sqref="G41:H41">
    <cfRule type="expression" dxfId="467" priority="989" stopIfTrue="1">
      <formula>AND($B41&lt;&gt;"COMPOSICAO",$B41&lt;&gt;"INSUMO",$B41&lt;&gt;"")</formula>
    </cfRule>
    <cfRule type="expression" dxfId="466" priority="990" stopIfTrue="1">
      <formula>AND(OR($B41="COMPOSICAO",$B41="INSUMO",$B41&lt;&gt;""),$B41&lt;&gt;"")</formula>
    </cfRule>
  </conditionalFormatting>
  <conditionalFormatting sqref="I41:J41">
    <cfRule type="expression" dxfId="465" priority="985" stopIfTrue="1">
      <formula>AND($B41&lt;&gt;"COMPOSICAO",$B41&lt;&gt;"INSUMO",$B41&lt;&gt;"")</formula>
    </cfRule>
    <cfRule type="expression" dxfId="464" priority="986" stopIfTrue="1">
      <formula>AND(OR($B41="COMPOSICAO",$B41="INSUMO",$B41&lt;&gt;""),$B41&lt;&gt;"")</formula>
    </cfRule>
  </conditionalFormatting>
  <conditionalFormatting sqref="E41">
    <cfRule type="expression" dxfId="463" priority="983" stopIfTrue="1">
      <formula>AND($B41&lt;&gt;"COMPOSICAO",$B41&lt;&gt;"INSUMO",$B41&lt;&gt;"")</formula>
    </cfRule>
    <cfRule type="expression" dxfId="462" priority="984" stopIfTrue="1">
      <formula>AND(OR($B41="COMPOSICAO",$B41="INSUMO",$B41&lt;&gt;""),$B41&lt;&gt;"")</formula>
    </cfRule>
  </conditionalFormatting>
  <conditionalFormatting sqref="H27">
    <cfRule type="expression" dxfId="461" priority="921" stopIfTrue="1">
      <formula>AND($B27&lt;&gt;"COMPOSICAO",$B27&lt;&gt;"INSUMO",$B27&lt;&gt;"")</formula>
    </cfRule>
    <cfRule type="expression" dxfId="460" priority="922" stopIfTrue="1">
      <formula>AND(OR($B27="COMPOSICAO",$B27="INSUMO",$B27&lt;&gt;""),$B27&lt;&gt;"")</formula>
    </cfRule>
  </conditionalFormatting>
  <conditionalFormatting sqref="B27:G27">
    <cfRule type="expression" dxfId="459" priority="919" stopIfTrue="1">
      <formula>AND($B27&lt;&gt;"COMPOSICAO",$B27&lt;&gt;"INSUMO",$B27&lt;&gt;"")</formula>
    </cfRule>
    <cfRule type="expression" dxfId="458" priority="920" stopIfTrue="1">
      <formula>AND(OR($B27="COMPOSICAO",$B27="INSUMO",$B27&lt;&gt;""),$B27&lt;&gt;"")</formula>
    </cfRule>
  </conditionalFormatting>
  <conditionalFormatting sqref="K27:K28">
    <cfRule type="expression" dxfId="457" priority="917" stopIfTrue="1">
      <formula>AND($B27&lt;&gt;"COMPOSICAO",$B27&lt;&gt;"INSUMO",$B27&lt;&gt;"")</formula>
    </cfRule>
    <cfRule type="expression" dxfId="456" priority="918" stopIfTrue="1">
      <formula>AND(OR($B27="COMPOSICAO",$B27="INSUMO",$B27&lt;&gt;""),$B27&lt;&gt;"")</formula>
    </cfRule>
  </conditionalFormatting>
  <conditionalFormatting sqref="I27:J27">
    <cfRule type="expression" dxfId="455" priority="915" stopIfTrue="1">
      <formula>AND($B27&lt;&gt;"COMPOSICAO",$B27&lt;&gt;"INSUMO",$B27&lt;&gt;"")</formula>
    </cfRule>
    <cfRule type="expression" dxfId="454" priority="916" stopIfTrue="1">
      <formula>AND(OR($B27="COMPOSICAO",$B27="INSUMO",$B27&lt;&gt;""),$B27&lt;&gt;"")</formula>
    </cfRule>
  </conditionalFormatting>
  <conditionalFormatting sqref="J27">
    <cfRule type="expression" dxfId="453" priority="913" stopIfTrue="1">
      <formula>AND($B27&lt;&gt;"COMPOSICAO",$B27&lt;&gt;"INSUMO",$B27&lt;&gt;"")</formula>
    </cfRule>
    <cfRule type="expression" dxfId="452" priority="914" stopIfTrue="1">
      <formula>AND(OR($B27="COMPOSICAO",$B27="INSUMO",$B27&lt;&gt;""),$B27&lt;&gt;"")</formula>
    </cfRule>
  </conditionalFormatting>
  <conditionalFormatting sqref="K28">
    <cfRule type="expression" dxfId="451" priority="911" stopIfTrue="1">
      <formula>AND($B28&lt;&gt;"COMPOSICAO",$B28&lt;&gt;"INSUMO",$B28&lt;&gt;"")</formula>
    </cfRule>
    <cfRule type="expression" dxfId="450" priority="912" stopIfTrue="1">
      <formula>AND(OR($B28="COMPOSICAO",$B28="INSUMO",$B28&lt;&gt;""),$B28&lt;&gt;"")</formula>
    </cfRule>
  </conditionalFormatting>
  <conditionalFormatting sqref="K27">
    <cfRule type="expression" dxfId="449" priority="909" stopIfTrue="1">
      <formula>AND($B27&lt;&gt;"COMPOSICAO",$B27&lt;&gt;"INSUMO",$B27&lt;&gt;"")</formula>
    </cfRule>
    <cfRule type="expression" dxfId="448" priority="910" stopIfTrue="1">
      <formula>AND(OR($B27="COMPOSICAO",$B27="INSUMO",$B27&lt;&gt;""),$B27&lt;&gt;"")</formula>
    </cfRule>
  </conditionalFormatting>
  <conditionalFormatting sqref="B33:F34">
    <cfRule type="expression" dxfId="447" priority="887" stopIfTrue="1">
      <formula>AND($A33&lt;&gt;"COMPOSICAO",$A33&lt;&gt;"INSUMO",$A33&lt;&gt;"")</formula>
    </cfRule>
    <cfRule type="expression" dxfId="446" priority="888" stopIfTrue="1">
      <formula>AND(OR($A33="COMPOSICAO",$A33="INSUMO",$A33&lt;&gt;""),$A33&lt;&gt;"")</formula>
    </cfRule>
  </conditionalFormatting>
  <conditionalFormatting sqref="D31:F31 B31">
    <cfRule type="expression" dxfId="445" priority="885" stopIfTrue="1">
      <formula>AND($A31&lt;&gt;"COMPOSICAO",$A31&lt;&gt;"INSUMO",$A31&lt;&gt;"")</formula>
    </cfRule>
    <cfRule type="expression" dxfId="444" priority="886" stopIfTrue="1">
      <formula>AND(OR($A31="COMPOSICAO",$A31="INSUMO",$A31&lt;&gt;""),$A31&lt;&gt;"")</formula>
    </cfRule>
  </conditionalFormatting>
  <conditionalFormatting sqref="G30:H30">
    <cfRule type="expression" dxfId="443" priority="879" stopIfTrue="1">
      <formula>AND($B30&lt;&gt;"COMPOSICAO",$B30&lt;&gt;"INSUMO",$B30&lt;&gt;"")</formula>
    </cfRule>
    <cfRule type="expression" dxfId="442" priority="880" stopIfTrue="1">
      <formula>AND(OR($B30="COMPOSICAO",$B30="INSUMO",$B30&lt;&gt;""),$B30&lt;&gt;"")</formula>
    </cfRule>
  </conditionalFormatting>
  <conditionalFormatting sqref="B30:D30 F30">
    <cfRule type="expression" dxfId="441" priority="881" stopIfTrue="1">
      <formula>AND($B30&lt;&gt;"COMPOSICAO",$B30&lt;&gt;"INSUMO",$B30&lt;&gt;"")</formula>
    </cfRule>
    <cfRule type="expression" dxfId="440" priority="882" stopIfTrue="1">
      <formula>AND(OR($B30="COMPOSICAO",$B30="INSUMO",$B30&lt;&gt;""),$B30&lt;&gt;"")</formula>
    </cfRule>
  </conditionalFormatting>
  <conditionalFormatting sqref="C31:F31">
    <cfRule type="expression" dxfId="439" priority="883" stopIfTrue="1">
      <formula>AND($A31&lt;&gt;"COMPOSICAO",$A31&lt;&gt;"INSUMO",$A31&lt;&gt;"")</formula>
    </cfRule>
    <cfRule type="expression" dxfId="438" priority="884" stopIfTrue="1">
      <formula>AND(OR($A31="COMPOSICAO",$A31="INSUMO",$A31&lt;&gt;""),$A31&lt;&gt;"")</formula>
    </cfRule>
  </conditionalFormatting>
  <conditionalFormatting sqref="K30">
    <cfRule type="expression" dxfId="437" priority="877" stopIfTrue="1">
      <formula>AND($B30&lt;&gt;"COMPOSICAO",$B30&lt;&gt;"INSUMO",$B30&lt;&gt;"")</formula>
    </cfRule>
    <cfRule type="expression" dxfId="436" priority="878" stopIfTrue="1">
      <formula>AND(OR($B30="COMPOSICAO",$B30="INSUMO",$B30&lt;&gt;""),$B30&lt;&gt;"")</formula>
    </cfRule>
  </conditionalFormatting>
  <conditionalFormatting sqref="I30:J30">
    <cfRule type="expression" dxfId="435" priority="875" stopIfTrue="1">
      <formula>AND($B30&lt;&gt;"COMPOSICAO",$B30&lt;&gt;"INSUMO",$B30&lt;&gt;"")</formula>
    </cfRule>
    <cfRule type="expression" dxfId="434" priority="876" stopIfTrue="1">
      <formula>AND(OR($B30="COMPOSICAO",$B30="INSUMO",$B30&lt;&gt;""),$B30&lt;&gt;"")</formula>
    </cfRule>
  </conditionalFormatting>
  <conditionalFormatting sqref="E30">
    <cfRule type="expression" dxfId="433" priority="873" stopIfTrue="1">
      <formula>AND($B30&lt;&gt;"COMPOSICAO",$B30&lt;&gt;"INSUMO",$B30&lt;&gt;"")</formula>
    </cfRule>
    <cfRule type="expression" dxfId="432" priority="874" stopIfTrue="1">
      <formula>AND(OR($B30="COMPOSICAO",$B30="INSUMO",$B30&lt;&gt;""),$B30&lt;&gt;"")</formula>
    </cfRule>
  </conditionalFormatting>
  <conditionalFormatting sqref="B51:G51">
    <cfRule type="expression" dxfId="431" priority="867" stopIfTrue="1">
      <formula>AND($B51&lt;&gt;"COMPOSICAO",$B51&lt;&gt;"INSUMO",$B51&lt;&gt;"")</formula>
    </cfRule>
    <cfRule type="expression" dxfId="430" priority="868" stopIfTrue="1">
      <formula>AND(OR($B51="COMPOSICAO",$B51="INSUMO",$B51&lt;&gt;""),$B51&lt;&gt;"")</formula>
    </cfRule>
  </conditionalFormatting>
  <conditionalFormatting sqref="H51">
    <cfRule type="expression" dxfId="429" priority="865" stopIfTrue="1">
      <formula>AND($B51&lt;&gt;"COMPOSICAO",$B51&lt;&gt;"INSUMO",$B51&lt;&gt;"")</formula>
    </cfRule>
    <cfRule type="expression" dxfId="428" priority="866" stopIfTrue="1">
      <formula>AND(OR($B51="COMPOSICAO",$B51="INSUMO",$B51&lt;&gt;""),$B51&lt;&gt;"")</formula>
    </cfRule>
  </conditionalFormatting>
  <conditionalFormatting sqref="J51">
    <cfRule type="expression" dxfId="427" priority="861" stopIfTrue="1">
      <formula>AND($B51&lt;&gt;"COMPOSICAO",$B51&lt;&gt;"INSUMO",$B51&lt;&gt;"")</formula>
    </cfRule>
    <cfRule type="expression" dxfId="426" priority="862" stopIfTrue="1">
      <formula>AND(OR($B51="COMPOSICAO",$B51="INSUMO",$B51&lt;&gt;""),$B51&lt;&gt;"")</formula>
    </cfRule>
  </conditionalFormatting>
  <conditionalFormatting sqref="I51">
    <cfRule type="expression" dxfId="425" priority="863" stopIfTrue="1">
      <formula>AND($B51&lt;&gt;"COMPOSICAO",$B51&lt;&gt;"INSUMO",$B51&lt;&gt;"")</formula>
    </cfRule>
    <cfRule type="expression" dxfId="424" priority="864" stopIfTrue="1">
      <formula>AND(OR($B51="COMPOSICAO",$B51="INSUMO",$B51&lt;&gt;""),$B51&lt;&gt;"")</formula>
    </cfRule>
  </conditionalFormatting>
  <conditionalFormatting sqref="K51">
    <cfRule type="expression" dxfId="423" priority="859" stopIfTrue="1">
      <formula>AND($B51&lt;&gt;"COMPOSICAO",$B51&lt;&gt;"INSUMO",$B51&lt;&gt;"")</formula>
    </cfRule>
    <cfRule type="expression" dxfId="422" priority="860" stopIfTrue="1">
      <formula>AND(OR($B51="COMPOSICAO",$B51="INSUMO",$B51&lt;&gt;""),$B51&lt;&gt;"")</formula>
    </cfRule>
  </conditionalFormatting>
  <conditionalFormatting sqref="I65:K65">
    <cfRule type="expression" dxfId="421" priority="843" stopIfTrue="1">
      <formula>AND($B65&lt;&gt;"COMPOSICAO",$B65&lt;&gt;"INSUMO",$B65&lt;&gt;"")</formula>
    </cfRule>
    <cfRule type="expression" dxfId="420" priority="844" stopIfTrue="1">
      <formula>AND(OR($B65="COMPOSICAO",$B65="INSUMO",$B65&lt;&gt;""),$B65&lt;&gt;"")</formula>
    </cfRule>
  </conditionalFormatting>
  <conditionalFormatting sqref="I204">
    <cfRule type="expression" dxfId="419" priority="841" stopIfTrue="1">
      <formula>AND($B204&lt;&gt;"COMPOSICAO",$B204&lt;&gt;"INSUMO",$B204&lt;&gt;"")</formula>
    </cfRule>
    <cfRule type="expression" dxfId="418" priority="842" stopIfTrue="1">
      <formula>AND(OR($B204="COMPOSICAO",$B204="INSUMO",$B204&lt;&gt;""),$B204&lt;&gt;"")</formula>
    </cfRule>
  </conditionalFormatting>
  <conditionalFormatting sqref="E204">
    <cfRule type="expression" dxfId="417" priority="837" stopIfTrue="1">
      <formula>AND($B204&lt;&gt;"COMPOSICAO",$B204&lt;&gt;"INSUMO",$B204&lt;&gt;"")</formula>
    </cfRule>
    <cfRule type="expression" dxfId="416" priority="838" stopIfTrue="1">
      <formula>AND(OR($B204="COMPOSICAO",$B204="INSUMO",$B204&lt;&gt;""),$B204&lt;&gt;"")</formula>
    </cfRule>
  </conditionalFormatting>
  <conditionalFormatting sqref="J204">
    <cfRule type="expression" dxfId="415" priority="839" stopIfTrue="1">
      <formula>AND($B204&lt;&gt;"COMPOSICAO",$B204&lt;&gt;"INSUMO",$B204&lt;&gt;"")</formula>
    </cfRule>
    <cfRule type="expression" dxfId="414" priority="840" stopIfTrue="1">
      <formula>AND(OR($B204="COMPOSICAO",$B204="INSUMO",$B204&lt;&gt;""),$B204&lt;&gt;"")</formula>
    </cfRule>
  </conditionalFormatting>
  <conditionalFormatting sqref="K204">
    <cfRule type="expression" dxfId="413" priority="829" stopIfTrue="1">
      <formula>AND($B204&lt;&gt;"COMPOSICAO",$B204&lt;&gt;"INSUMO",$B204&lt;&gt;"")</formula>
    </cfRule>
    <cfRule type="expression" dxfId="412" priority="830" stopIfTrue="1">
      <formula>AND(OR($B204="COMPOSICAO",$B204="INSUMO",$B204&lt;&gt;""),$B204&lt;&gt;"")</formula>
    </cfRule>
  </conditionalFormatting>
  <conditionalFormatting sqref="I99">
    <cfRule type="expression" dxfId="411" priority="757" stopIfTrue="1">
      <formula>AND($B99&lt;&gt;"COMPOSICAO",$B99&lt;&gt;"INSUMO",$B99&lt;&gt;"")</formula>
    </cfRule>
    <cfRule type="expression" dxfId="410" priority="758" stopIfTrue="1">
      <formula>AND(OR($B99="COMPOSICAO",$B99="INSUMO",$B99&lt;&gt;""),$B99&lt;&gt;"")</formula>
    </cfRule>
  </conditionalFormatting>
  <conditionalFormatting sqref="J99">
    <cfRule type="expression" dxfId="409" priority="755" stopIfTrue="1">
      <formula>AND($B99&lt;&gt;"COMPOSICAO",$B99&lt;&gt;"INSUMO",$B99&lt;&gt;"")</formula>
    </cfRule>
    <cfRule type="expression" dxfId="408" priority="756" stopIfTrue="1">
      <formula>AND(OR($B99="COMPOSICAO",$B99="INSUMO",$B99&lt;&gt;""),$B99&lt;&gt;"")</formula>
    </cfRule>
  </conditionalFormatting>
  <conditionalFormatting sqref="K83">
    <cfRule type="expression" dxfId="407" priority="751" stopIfTrue="1">
      <formula>AND($B83&lt;&gt;"COMPOSICAO",$B83&lt;&gt;"INSUMO",$B83&lt;&gt;"")</formula>
    </cfRule>
    <cfRule type="expression" dxfId="406" priority="752" stopIfTrue="1">
      <formula>AND(OR($B83="COMPOSICAO",$B83="INSUMO",$B83&lt;&gt;""),$B83&lt;&gt;"")</formula>
    </cfRule>
  </conditionalFormatting>
  <conditionalFormatting sqref="K99">
    <cfRule type="expression" dxfId="405" priority="747" stopIfTrue="1">
      <formula>AND($B99&lt;&gt;"COMPOSICAO",$B99&lt;&gt;"INSUMO",$B99&lt;&gt;"")</formula>
    </cfRule>
    <cfRule type="expression" dxfId="404" priority="748" stopIfTrue="1">
      <formula>AND(OR($B99="COMPOSICAO",$B99="INSUMO",$B99&lt;&gt;""),$B99&lt;&gt;"")</formula>
    </cfRule>
  </conditionalFormatting>
  <conditionalFormatting sqref="I104">
    <cfRule type="expression" dxfId="403" priority="745" stopIfTrue="1">
      <formula>AND($B104&lt;&gt;"COMPOSICAO",$B104&lt;&gt;"INSUMO",$B104&lt;&gt;"")</formula>
    </cfRule>
    <cfRule type="expression" dxfId="402" priority="746" stopIfTrue="1">
      <formula>AND(OR($B104="COMPOSICAO",$B104="INSUMO",$B104&lt;&gt;""),$B104&lt;&gt;"")</formula>
    </cfRule>
  </conditionalFormatting>
  <conditionalFormatting sqref="J104">
    <cfRule type="expression" dxfId="401" priority="743" stopIfTrue="1">
      <formula>AND($B104&lt;&gt;"COMPOSICAO",$B104&lt;&gt;"INSUMO",$B104&lt;&gt;"")</formula>
    </cfRule>
    <cfRule type="expression" dxfId="400" priority="744" stopIfTrue="1">
      <formula>AND(OR($B104="COMPOSICAO",$B104="INSUMO",$B104&lt;&gt;""),$B104&lt;&gt;"")</formula>
    </cfRule>
  </conditionalFormatting>
  <conditionalFormatting sqref="D105:D106">
    <cfRule type="expression" dxfId="399" priority="739" stopIfTrue="1">
      <formula>AND($B105&lt;&gt;"COMPOSICAO",$B105&lt;&gt;"INSUMO",$B105&lt;&gt;"")</formula>
    </cfRule>
    <cfRule type="expression" dxfId="398" priority="740" stopIfTrue="1">
      <formula>AND(OR($B105="COMPOSICAO",$B105="INSUMO",$B105&lt;&gt;""),$B105&lt;&gt;"")</formula>
    </cfRule>
  </conditionalFormatting>
  <conditionalFormatting sqref="K104">
    <cfRule type="expression" dxfId="397" priority="737" stopIfTrue="1">
      <formula>AND($B104&lt;&gt;"COMPOSICAO",$B104&lt;&gt;"INSUMO",$B104&lt;&gt;"")</formula>
    </cfRule>
    <cfRule type="expression" dxfId="396" priority="738" stopIfTrue="1">
      <formula>AND(OR($B104="COMPOSICAO",$B104="INSUMO",$B104&lt;&gt;""),$B104&lt;&gt;"")</formula>
    </cfRule>
  </conditionalFormatting>
  <conditionalFormatting sqref="I110">
    <cfRule type="expression" dxfId="395" priority="735" stopIfTrue="1">
      <formula>AND($B110&lt;&gt;"COMPOSICAO",$B110&lt;&gt;"INSUMO",$B110&lt;&gt;"")</formula>
    </cfRule>
    <cfRule type="expression" dxfId="394" priority="736" stopIfTrue="1">
      <formula>AND(OR($B110="COMPOSICAO",$B110="INSUMO",$B110&lt;&gt;""),$B110&lt;&gt;"")</formula>
    </cfRule>
  </conditionalFormatting>
  <conditionalFormatting sqref="J110">
    <cfRule type="expression" dxfId="393" priority="733" stopIfTrue="1">
      <formula>AND($B110&lt;&gt;"COMPOSICAO",$B110&lt;&gt;"INSUMO",$B110&lt;&gt;"")</formula>
    </cfRule>
    <cfRule type="expression" dxfId="392" priority="734" stopIfTrue="1">
      <formula>AND(OR($B110="COMPOSICAO",$B110="INSUMO",$B110&lt;&gt;""),$B110&lt;&gt;"")</formula>
    </cfRule>
  </conditionalFormatting>
  <conditionalFormatting sqref="D111:D113">
    <cfRule type="expression" dxfId="391" priority="729" stopIfTrue="1">
      <formula>AND($B111&lt;&gt;"COMPOSICAO",$B111&lt;&gt;"INSUMO",$B111&lt;&gt;"")</formula>
    </cfRule>
    <cfRule type="expression" dxfId="390" priority="730" stopIfTrue="1">
      <formula>AND(OR($B111="COMPOSICAO",$B111="INSUMO",$B111&lt;&gt;""),$B111&lt;&gt;"")</formula>
    </cfRule>
  </conditionalFormatting>
  <conditionalFormatting sqref="K110">
    <cfRule type="expression" dxfId="389" priority="727" stopIfTrue="1">
      <formula>AND($B110&lt;&gt;"COMPOSICAO",$B110&lt;&gt;"INSUMO",$B110&lt;&gt;"")</formula>
    </cfRule>
    <cfRule type="expression" dxfId="388" priority="728" stopIfTrue="1">
      <formula>AND(OR($B110="COMPOSICAO",$B110="INSUMO",$B110&lt;&gt;""),$B110&lt;&gt;"")</formula>
    </cfRule>
  </conditionalFormatting>
  <conditionalFormatting sqref="B83:C83">
    <cfRule type="expression" dxfId="387" priority="767" stopIfTrue="1">
      <formula>AND($B83&lt;&gt;"COMPOSICAO",$B83&lt;&gt;"INSUMO",$B83&lt;&gt;"")</formula>
    </cfRule>
    <cfRule type="expression" dxfId="386" priority="768" stopIfTrue="1">
      <formula>AND(OR($B83="COMPOSICAO",$B83="INSUMO",$B83&lt;&gt;""),$B83&lt;&gt;"")</formula>
    </cfRule>
  </conditionalFormatting>
  <conditionalFormatting sqref="D83">
    <cfRule type="expression" dxfId="385" priority="765" stopIfTrue="1">
      <formula>AND($B83&lt;&gt;"COMPOSICAO",$B83&lt;&gt;"INSUMO",$B83&lt;&gt;"")</formula>
    </cfRule>
    <cfRule type="expression" dxfId="384" priority="766" stopIfTrue="1">
      <formula>AND(OR($B83="COMPOSICAO",$B83="INSUMO",$B83&lt;&gt;""),$B83&lt;&gt;"")</formula>
    </cfRule>
  </conditionalFormatting>
  <conditionalFormatting sqref="E83:H83">
    <cfRule type="expression" dxfId="383" priority="763" stopIfTrue="1">
      <formula>AND($B83&lt;&gt;"COMPOSICAO",$B83&lt;&gt;"INSUMO",$B83&lt;&gt;"")</formula>
    </cfRule>
    <cfRule type="expression" dxfId="382" priority="764" stopIfTrue="1">
      <formula>AND(OR($B83="COMPOSICAO",$B83="INSUMO",$B83&lt;&gt;""),$B83&lt;&gt;"")</formula>
    </cfRule>
  </conditionalFormatting>
  <conditionalFormatting sqref="I83">
    <cfRule type="expression" dxfId="381" priority="761" stopIfTrue="1">
      <formula>AND($B83&lt;&gt;"COMPOSICAO",$B83&lt;&gt;"INSUMO",$B83&lt;&gt;"")</formula>
    </cfRule>
    <cfRule type="expression" dxfId="380" priority="762" stopIfTrue="1">
      <formula>AND(OR($B83="COMPOSICAO",$B83="INSUMO",$B83&lt;&gt;""),$B83&lt;&gt;"")</formula>
    </cfRule>
  </conditionalFormatting>
  <conditionalFormatting sqref="J83">
    <cfRule type="expression" dxfId="379" priority="759" stopIfTrue="1">
      <formula>AND($B83&lt;&gt;"COMPOSICAO",$B83&lt;&gt;"INSUMO",$B83&lt;&gt;"")</formula>
    </cfRule>
    <cfRule type="expression" dxfId="378" priority="760" stopIfTrue="1">
      <formula>AND(OR($B83="COMPOSICAO",$B83="INSUMO",$B83&lt;&gt;""),$B83&lt;&gt;"")</formula>
    </cfRule>
  </conditionalFormatting>
  <conditionalFormatting sqref="C101:C102">
    <cfRule type="expression" dxfId="377" priority="753" stopIfTrue="1">
      <formula>AND($A101&lt;&gt;"COMPOSICAO",$A101&lt;&gt;"INSUMO",$A101&lt;&gt;"")</formula>
    </cfRule>
    <cfRule type="expression" dxfId="376" priority="754" stopIfTrue="1">
      <formula>AND(OR($A101="COMPOSICAO",$A101="INSUMO",$A101&lt;&gt;""),$A101&lt;&gt;"")</formula>
    </cfRule>
  </conditionalFormatting>
  <conditionalFormatting sqref="C105:C107">
    <cfRule type="expression" dxfId="375" priority="741" stopIfTrue="1">
      <formula>AND($A105&lt;&gt;"COMPOSICAO",$A105&lt;&gt;"INSUMO",$A105&lt;&gt;"")</formula>
    </cfRule>
    <cfRule type="expression" dxfId="374" priority="742" stopIfTrue="1">
      <formula>AND(OR($A105="COMPOSICAO",$A105="INSUMO",$A105&lt;&gt;""),$A105&lt;&gt;"")</formula>
    </cfRule>
  </conditionalFormatting>
  <conditionalFormatting sqref="C111:C113">
    <cfRule type="expression" dxfId="373" priority="731" stopIfTrue="1">
      <formula>AND($A111&lt;&gt;"COMPOSICAO",$A111&lt;&gt;"INSUMO",$A111&lt;&gt;"")</formula>
    </cfRule>
    <cfRule type="expression" dxfId="372" priority="732" stopIfTrue="1">
      <formula>AND(OR($A111="COMPOSICAO",$A111="INSUMO",$A111&lt;&gt;""),$A111&lt;&gt;"")</formula>
    </cfRule>
  </conditionalFormatting>
  <conditionalFormatting sqref="B132:G132">
    <cfRule type="expression" dxfId="371" priority="724" stopIfTrue="1">
      <formula>AND($A132&lt;&gt;"COMPOSICAO",$A132&lt;&gt;"INSUMO",$A132&lt;&gt;"")</formula>
    </cfRule>
    <cfRule type="expression" dxfId="370" priority="725" stopIfTrue="1">
      <formula>AND(OR($A132="COMPOSICAO",$A132="INSUMO",$A132&lt;&gt;""),$A132&lt;&gt;"")</formula>
    </cfRule>
  </conditionalFormatting>
  <conditionalFormatting sqref="B198:C198">
    <cfRule type="expression" dxfId="369" priority="544" stopIfTrue="1">
      <formula>AND($B198&lt;&gt;"COMPOSICAO",$B198&lt;&gt;"INSUMO",$B198&lt;&gt;"")</formula>
    </cfRule>
    <cfRule type="expression" dxfId="368" priority="545" stopIfTrue="1">
      <formula>AND(OR($B198="COMPOSICAO",$B198="INSUMO",$B198&lt;&gt;""),$B198&lt;&gt;"")</formula>
    </cfRule>
  </conditionalFormatting>
  <conditionalFormatting sqref="D198">
    <cfRule type="expression" dxfId="367" priority="542" stopIfTrue="1">
      <formula>AND($B198&lt;&gt;"COMPOSICAO",$B198&lt;&gt;"INSUMO",$B198&lt;&gt;"")</formula>
    </cfRule>
    <cfRule type="expression" dxfId="366" priority="543" stopIfTrue="1">
      <formula>AND(OR($B198="COMPOSICAO",$B198="INSUMO",$B198&lt;&gt;""),$B198&lt;&gt;"")</formula>
    </cfRule>
  </conditionalFormatting>
  <conditionalFormatting sqref="E198:H198">
    <cfRule type="expression" dxfId="365" priority="540" stopIfTrue="1">
      <formula>AND($B198&lt;&gt;"COMPOSICAO",$B198&lt;&gt;"INSUMO",$B198&lt;&gt;"")</formula>
    </cfRule>
    <cfRule type="expression" dxfId="364" priority="541" stopIfTrue="1">
      <formula>AND(OR($B198="COMPOSICAO",$B198="INSUMO",$B198&lt;&gt;""),$B198&lt;&gt;"")</formula>
    </cfRule>
  </conditionalFormatting>
  <conditionalFormatting sqref="K154">
    <cfRule type="dataBar" priority="7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{49D2E90E-5F7F-4378-BD53-560480327304}</x14:id>
        </ext>
      </extLst>
    </cfRule>
  </conditionalFormatting>
  <conditionalFormatting sqref="I198">
    <cfRule type="expression" dxfId="363" priority="536" stopIfTrue="1">
      <formula>AND($B198&lt;&gt;"COMPOSICAO",$B198&lt;&gt;"INSUMO",$B198&lt;&gt;"")</formula>
    </cfRule>
    <cfRule type="expression" dxfId="362" priority="537" stopIfTrue="1">
      <formula>AND(OR($B198="COMPOSICAO",$B198="INSUMO",$B198&lt;&gt;""),$B198&lt;&gt;"")</formula>
    </cfRule>
  </conditionalFormatting>
  <conditionalFormatting sqref="J198">
    <cfRule type="expression" dxfId="361" priority="534" stopIfTrue="1">
      <formula>AND($B198&lt;&gt;"COMPOSICAO",$B198&lt;&gt;"INSUMO",$B198&lt;&gt;"")</formula>
    </cfRule>
    <cfRule type="expression" dxfId="360" priority="535" stopIfTrue="1">
      <formula>AND(OR($B198="COMPOSICAO",$B198="INSUMO",$B198&lt;&gt;""),$B198&lt;&gt;"")</formula>
    </cfRule>
  </conditionalFormatting>
  <conditionalFormatting sqref="K198">
    <cfRule type="expression" dxfId="359" priority="532" stopIfTrue="1">
      <formula>AND($B198&lt;&gt;"COMPOSICAO",$B198&lt;&gt;"INSUMO",$B198&lt;&gt;"")</formula>
    </cfRule>
    <cfRule type="expression" dxfId="358" priority="533" stopIfTrue="1">
      <formula>AND(OR($B198="COMPOSICAO",$B198="INSUMO",$B198&lt;&gt;""),$B198&lt;&gt;"")</formula>
    </cfRule>
  </conditionalFormatting>
  <conditionalFormatting sqref="K201">
    <cfRule type="dataBar" priority="5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{2D7EBF07-8DFD-4A6B-BEE8-E9E1859B1F04}</x14:id>
        </ext>
      </extLst>
    </cfRule>
  </conditionalFormatting>
  <conditionalFormatting sqref="K202">
    <cfRule type="dataBar" priority="5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{1136FEE5-7B86-4EAB-BFE3-EFDED8B26861}</x14:id>
        </ext>
      </extLst>
    </cfRule>
  </conditionalFormatting>
  <conditionalFormatting sqref="B35">
    <cfRule type="expression" dxfId="357" priority="477" stopIfTrue="1">
      <formula>AND($B35&lt;&gt;"COMPOSICAO",$B35&lt;&gt;"INSUMO",$B35&lt;&gt;"")</formula>
    </cfRule>
    <cfRule type="expression" dxfId="356" priority="478" stopIfTrue="1">
      <formula>AND(OR($B35="COMPOSICAO",$B35="INSUMO",$B35&lt;&gt;""),$B35&lt;&gt;"")</formula>
    </cfRule>
  </conditionalFormatting>
  <conditionalFormatting sqref="J35">
    <cfRule type="expression" dxfId="355" priority="469" stopIfTrue="1">
      <formula>AND($B35&lt;&gt;"COMPOSICAO",$B35&lt;&gt;"INSUMO",$B35&lt;&gt;"")</formula>
    </cfRule>
    <cfRule type="expression" dxfId="354" priority="470" stopIfTrue="1">
      <formula>AND(OR($B35="COMPOSICAO",$B35="INSUMO",$B35&lt;&gt;""),$B35&lt;&gt;"")</formula>
    </cfRule>
  </conditionalFormatting>
  <conditionalFormatting sqref="D35">
    <cfRule type="expression" dxfId="353" priority="475" stopIfTrue="1">
      <formula>AND($B35&lt;&gt;"COMPOSICAO",$B35&lt;&gt;"INSUMO",$B35&lt;&gt;"")</formula>
    </cfRule>
    <cfRule type="expression" dxfId="352" priority="476" stopIfTrue="1">
      <formula>AND(OR($B35="COMPOSICAO",$B35="INSUMO",$B35&lt;&gt;""),$B35&lt;&gt;"")</formula>
    </cfRule>
  </conditionalFormatting>
  <conditionalFormatting sqref="E35:H35">
    <cfRule type="expression" dxfId="351" priority="473" stopIfTrue="1">
      <formula>AND($B35&lt;&gt;"COMPOSICAO",$B35&lt;&gt;"INSUMO",$B35&lt;&gt;"")</formula>
    </cfRule>
    <cfRule type="expression" dxfId="350" priority="474" stopIfTrue="1">
      <formula>AND(OR($B35="COMPOSICAO",$B35="INSUMO",$B35&lt;&gt;""),$B35&lt;&gt;"")</formula>
    </cfRule>
  </conditionalFormatting>
  <conditionalFormatting sqref="I35">
    <cfRule type="expression" dxfId="349" priority="471" stopIfTrue="1">
      <formula>AND($B35&lt;&gt;"COMPOSICAO",$B35&lt;&gt;"INSUMO",$B35&lt;&gt;"")</formula>
    </cfRule>
    <cfRule type="expression" dxfId="348" priority="472" stopIfTrue="1">
      <formula>AND(OR($B35="COMPOSICAO",$B35="INSUMO",$B35&lt;&gt;""),$B35&lt;&gt;"")</formula>
    </cfRule>
  </conditionalFormatting>
  <conditionalFormatting sqref="C35">
    <cfRule type="expression" dxfId="347" priority="463" stopIfTrue="1">
      <formula>AND($B35&lt;&gt;"COMPOSICAO",$B35&lt;&gt;"INSUMO",$B35&lt;&gt;"")</formula>
    </cfRule>
    <cfRule type="expression" dxfId="346" priority="464" stopIfTrue="1">
      <formula>AND(OR($B35="COMPOSICAO",$B35="INSUMO",$B35&lt;&gt;""),$B35&lt;&gt;"")</formula>
    </cfRule>
  </conditionalFormatting>
  <conditionalFormatting sqref="K38">
    <cfRule type="dataBar" priority="4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{179796E7-2082-47FC-8B49-21727F52133E}</x14:id>
        </ext>
      </extLst>
    </cfRule>
  </conditionalFormatting>
  <conditionalFormatting sqref="K39">
    <cfRule type="dataBar" priority="4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{948BEA3F-84C1-4B73-82DE-B888E0126248}</x14:id>
        </ext>
      </extLst>
    </cfRule>
  </conditionalFormatting>
  <conditionalFormatting sqref="K35">
    <cfRule type="expression" dxfId="345" priority="465" stopIfTrue="1">
      <formula>AND($B35&lt;&gt;"COMPOSICAO",$B35&lt;&gt;"INSUMO",$B35&lt;&gt;"")</formula>
    </cfRule>
    <cfRule type="expression" dxfId="344" priority="466" stopIfTrue="1">
      <formula>AND(OR($B35="COMPOSICAO",$B35="INSUMO",$B35&lt;&gt;""),$B35&lt;&gt;"")</formula>
    </cfRule>
  </conditionalFormatting>
  <conditionalFormatting sqref="K205:K209">
    <cfRule type="dataBar" priority="4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{1A988A7F-A97D-4739-9C80-DAD8ABE68B35}</x14:id>
        </ext>
      </extLst>
    </cfRule>
  </conditionalFormatting>
  <conditionalFormatting sqref="K19:K20">
    <cfRule type="expression" dxfId="343" priority="309" stopIfTrue="1">
      <formula>AND($B19&lt;&gt;"COMPOSICAO",$B19&lt;&gt;"INSUMO",$B19&lt;&gt;"")</formula>
    </cfRule>
    <cfRule type="expression" dxfId="342" priority="310" stopIfTrue="1">
      <formula>AND(OR($B19="COMPOSICAO",$B19="INSUMO",$B19&lt;&gt;""),$B19&lt;&gt;"")</formula>
    </cfRule>
  </conditionalFormatting>
  <conditionalFormatting sqref="H10:J10">
    <cfRule type="expression" dxfId="341" priority="345" stopIfTrue="1">
      <formula>AND($B10&lt;&gt;"COMPOSICAO",$B10&lt;&gt;"INSUMO",$B10&lt;&gt;"")</formula>
    </cfRule>
    <cfRule type="expression" dxfId="340" priority="346" stopIfTrue="1">
      <formula>AND(OR($B10="COMPOSICAO",$B10="INSUMO",$B10&lt;&gt;""),$B10&lt;&gt;"")</formula>
    </cfRule>
  </conditionalFormatting>
  <conditionalFormatting sqref="B10:D10 F10:G10">
    <cfRule type="expression" dxfId="339" priority="343" stopIfTrue="1">
      <formula>AND($B10&lt;&gt;"COMPOSICAO",$B10&lt;&gt;"INSUMO",$B10&lt;&gt;"")</formula>
    </cfRule>
    <cfRule type="expression" dxfId="338" priority="344" stopIfTrue="1">
      <formula>AND(OR($B10="COMPOSICAO",$B10="INSUMO",$B10&lt;&gt;""),$B10&lt;&gt;"")</formula>
    </cfRule>
  </conditionalFormatting>
  <conditionalFormatting sqref="K10">
    <cfRule type="expression" dxfId="337" priority="341" stopIfTrue="1">
      <formula>AND($B10&lt;&gt;"COMPOSICAO",$B10&lt;&gt;"INSUMO",$B10&lt;&gt;"")</formula>
    </cfRule>
    <cfRule type="expression" dxfId="336" priority="342" stopIfTrue="1">
      <formula>AND(OR($B10="COMPOSICAO",$B10="INSUMO",$B10&lt;&gt;""),$B10&lt;&gt;"")</formula>
    </cfRule>
  </conditionalFormatting>
  <conditionalFormatting sqref="E10">
    <cfRule type="expression" dxfId="335" priority="339" stopIfTrue="1">
      <formula>AND($B10&lt;&gt;"COMPOSICAO",$B10&lt;&gt;"INSUMO",$B10&lt;&gt;"")</formula>
    </cfRule>
    <cfRule type="expression" dxfId="334" priority="340" stopIfTrue="1">
      <formula>AND(OR($B10="COMPOSICAO",$B10="INSUMO",$B10&lt;&gt;""),$B10&lt;&gt;"")</formula>
    </cfRule>
  </conditionalFormatting>
  <conditionalFormatting sqref="H14 I16 K15:K16">
    <cfRule type="expression" dxfId="333" priority="337" stopIfTrue="1">
      <formula>AND($B14&lt;&gt;"COMPOSICAO",$B14&lt;&gt;"INSUMO",$B14&lt;&gt;"")</formula>
    </cfRule>
    <cfRule type="expression" dxfId="332" priority="338" stopIfTrue="1">
      <formula>AND(OR($B14="COMPOSICAO",$B14="INSUMO",$B14&lt;&gt;""),$B14&lt;&gt;"")</formula>
    </cfRule>
  </conditionalFormatting>
  <conditionalFormatting sqref="H16">
    <cfRule type="expression" dxfId="331" priority="335" stopIfTrue="1">
      <formula>AND($B16&lt;&gt;"COMPOSICAO",$B16&lt;&gt;"INSUMO",$B16&lt;&gt;"")</formula>
    </cfRule>
    <cfRule type="expression" dxfId="330" priority="336" stopIfTrue="1">
      <formula>AND(OR($B16="COMPOSICAO",$B16="INSUMO",$B16&lt;&gt;""),$B16&lt;&gt;"")</formula>
    </cfRule>
  </conditionalFormatting>
  <conditionalFormatting sqref="I14:J14">
    <cfRule type="expression" dxfId="329" priority="333" stopIfTrue="1">
      <formula>AND($B14&lt;&gt;"COMPOSICAO",$B14&lt;&gt;"INSUMO",$B14&lt;&gt;"")</formula>
    </cfRule>
    <cfRule type="expression" dxfId="328" priority="334" stopIfTrue="1">
      <formula>AND(OR($B14="COMPOSICAO",$B14="INSUMO",$B14&lt;&gt;""),$B14&lt;&gt;"")</formula>
    </cfRule>
  </conditionalFormatting>
  <conditionalFormatting sqref="B14:G14">
    <cfRule type="expression" dxfId="327" priority="331" stopIfTrue="1">
      <formula>AND($B14&lt;&gt;"COMPOSICAO",$B14&lt;&gt;"INSUMO",$B14&lt;&gt;"")</formula>
    </cfRule>
    <cfRule type="expression" dxfId="326" priority="332" stopIfTrue="1">
      <formula>AND(OR($B14="COMPOSICAO",$B14="INSUMO",$B14&lt;&gt;""),$B14&lt;&gt;"")</formula>
    </cfRule>
  </conditionalFormatting>
  <conditionalFormatting sqref="K14">
    <cfRule type="expression" dxfId="325" priority="329" stopIfTrue="1">
      <formula>AND($B14&lt;&gt;"COMPOSICAO",$B14&lt;&gt;"INSUMO",$B14&lt;&gt;"")</formula>
    </cfRule>
    <cfRule type="expression" dxfId="324" priority="330" stopIfTrue="1">
      <formula>AND(OR($B14="COMPOSICAO",$B14="INSUMO",$B14&lt;&gt;""),$B14&lt;&gt;"")</formula>
    </cfRule>
  </conditionalFormatting>
  <conditionalFormatting sqref="H15">
    <cfRule type="expression" dxfId="323" priority="327" stopIfTrue="1">
      <formula>AND($B15&lt;&gt;"COMPOSICAO",$B15&lt;&gt;"INSUMO",$B15&lt;&gt;"")</formula>
    </cfRule>
    <cfRule type="expression" dxfId="322" priority="328" stopIfTrue="1">
      <formula>AND(OR($B15="COMPOSICAO",$B15="INSUMO",$B15&lt;&gt;""),$B15&lt;&gt;"")</formula>
    </cfRule>
  </conditionalFormatting>
  <conditionalFormatting sqref="K18">
    <cfRule type="expression" dxfId="321" priority="307" stopIfTrue="1">
      <formula>AND($B18&lt;&gt;"COMPOSICAO",$B18&lt;&gt;"INSUMO",$B18&lt;&gt;"")</formula>
    </cfRule>
    <cfRule type="expression" dxfId="320" priority="308" stopIfTrue="1">
      <formula>AND(OR($B18="COMPOSICAO",$B18="INSUMO",$B18&lt;&gt;""),$B18&lt;&gt;"")</formula>
    </cfRule>
  </conditionalFormatting>
  <conditionalFormatting sqref="I26:K26">
    <cfRule type="expression" dxfId="319" priority="325" stopIfTrue="1">
      <formula>AND($B26&lt;&gt;"COMPOSICAO",$B26&lt;&gt;"INSUMO",$B26&lt;&gt;"")</formula>
    </cfRule>
    <cfRule type="expression" dxfId="318" priority="326" stopIfTrue="1">
      <formula>AND(OR($B26="COMPOSICAO",$B26="INSUMO",$B26&lt;&gt;""),$B26&lt;&gt;"")</formula>
    </cfRule>
  </conditionalFormatting>
  <conditionalFormatting sqref="H18">
    <cfRule type="expression" dxfId="317" priority="317" stopIfTrue="1">
      <formula>AND($B18&lt;&gt;"COMPOSICAO",$B18&lt;&gt;"INSUMO",$B18&lt;&gt;"")</formula>
    </cfRule>
    <cfRule type="expression" dxfId="316" priority="318" stopIfTrue="1">
      <formula>AND(OR($B18="COMPOSICAO",$B18="INSUMO",$B18&lt;&gt;""),$B18&lt;&gt;"")</formula>
    </cfRule>
  </conditionalFormatting>
  <conditionalFormatting sqref="I18:J18">
    <cfRule type="expression" dxfId="315" priority="315" stopIfTrue="1">
      <formula>AND($B18&lt;&gt;"COMPOSICAO",$B18&lt;&gt;"INSUMO",$B18&lt;&gt;"")</formula>
    </cfRule>
    <cfRule type="expression" dxfId="314" priority="316" stopIfTrue="1">
      <formula>AND(OR($B18="COMPOSICAO",$B18="INSUMO",$B18&lt;&gt;""),$B18&lt;&gt;"")</formula>
    </cfRule>
  </conditionalFormatting>
  <conditionalFormatting sqref="B18:C18">
    <cfRule type="expression" dxfId="313" priority="323" stopIfTrue="1">
      <formula>AND($B18&lt;&gt;"COMPOSICAO",$B18&lt;&gt;"INSUMO",$B18&lt;&gt;"")</formula>
    </cfRule>
    <cfRule type="expression" dxfId="312" priority="324" stopIfTrue="1">
      <formula>AND(OR($B18="COMPOSICAO",$B18="INSUMO",$B18&lt;&gt;""),$B18&lt;&gt;"")</formula>
    </cfRule>
  </conditionalFormatting>
  <conditionalFormatting sqref="D18">
    <cfRule type="expression" dxfId="311" priority="321" stopIfTrue="1">
      <formula>AND($B18&lt;&gt;"COMPOSICAO",$B18&lt;&gt;"INSUMO",$B18&lt;&gt;"")</formula>
    </cfRule>
    <cfRule type="expression" dxfId="310" priority="322" stopIfTrue="1">
      <formula>AND(OR($B18="COMPOSICAO",$B18="INSUMO",$B18&lt;&gt;""),$B18&lt;&gt;"")</formula>
    </cfRule>
  </conditionalFormatting>
  <conditionalFormatting sqref="E18:G18">
    <cfRule type="expression" dxfId="309" priority="319" stopIfTrue="1">
      <formula>AND($B18&lt;&gt;"COMPOSICAO",$B18&lt;&gt;"INSUMO",$B18&lt;&gt;"")</formula>
    </cfRule>
    <cfRule type="expression" dxfId="308" priority="320" stopIfTrue="1">
      <formula>AND(OR($B18="COMPOSICAO",$B18="INSUMO",$B18&lt;&gt;""),$B18&lt;&gt;"")</formula>
    </cfRule>
  </conditionalFormatting>
  <conditionalFormatting sqref="H19">
    <cfRule type="expression" dxfId="307" priority="313" stopIfTrue="1">
      <formula>AND($B19&lt;&gt;"COMPOSICAO",$B19&lt;&gt;"INSUMO",$B19&lt;&gt;"")</formula>
    </cfRule>
    <cfRule type="expression" dxfId="306" priority="314" stopIfTrue="1">
      <formula>AND(OR($B19="COMPOSICAO",$B19="INSUMO",$B19&lt;&gt;""),$B19&lt;&gt;"")</formula>
    </cfRule>
  </conditionalFormatting>
  <conditionalFormatting sqref="I19:I20">
    <cfRule type="expression" dxfId="305" priority="311" stopIfTrue="1">
      <formula>AND($B19&lt;&gt;"COMPOSICAO",$B19&lt;&gt;"INSUMO",$B19&lt;&gt;"")</formula>
    </cfRule>
    <cfRule type="expression" dxfId="304" priority="312" stopIfTrue="1">
      <formula>AND(OR($B19="COMPOSICAO",$B19="INSUMO",$B19&lt;&gt;""),$B19&lt;&gt;"")</formula>
    </cfRule>
  </conditionalFormatting>
  <conditionalFormatting sqref="H57">
    <cfRule type="expression" dxfId="303" priority="301" stopIfTrue="1">
      <formula>AND($B57&lt;&gt;"COMPOSICAO",$B57&lt;&gt;"INSUMO",$B57&lt;&gt;"")</formula>
    </cfRule>
    <cfRule type="expression" dxfId="302" priority="302" stopIfTrue="1">
      <formula>AND(OR($B57="COMPOSICAO",$B57="INSUMO",$B57&lt;&gt;""),$B57&lt;&gt;"")</formula>
    </cfRule>
  </conditionalFormatting>
  <conditionalFormatting sqref="F43">
    <cfRule type="expression" dxfId="301" priority="305" stopIfTrue="1">
      <formula>AND($A43&lt;&gt;"COMPOSICAO",$A43&lt;&gt;"INSUMO",$A43&lt;&gt;"")</formula>
    </cfRule>
    <cfRule type="expression" dxfId="300" priority="306" stopIfTrue="1">
      <formula>AND(OR($A43="COMPOSICAO",$A43="INSUMO",$A43&lt;&gt;""),$A43&lt;&gt;"")</formula>
    </cfRule>
  </conditionalFormatting>
  <conditionalFormatting sqref="C60:F60">
    <cfRule type="expression" dxfId="299" priority="291" stopIfTrue="1">
      <formula>AND($A60&lt;&gt;"COMPOSICAO",$A60&lt;&gt;"INSUMO",$A60&lt;&gt;"")</formula>
    </cfRule>
    <cfRule type="expression" dxfId="298" priority="292" stopIfTrue="1">
      <formula>AND(OR($A60="COMPOSICAO",$A60="INSUMO",$A60&lt;&gt;""),$A60&lt;&gt;"")</formula>
    </cfRule>
  </conditionalFormatting>
  <conditionalFormatting sqref="H60">
    <cfRule type="expression" dxfId="297" priority="293" stopIfTrue="1">
      <formula>AND($B60&lt;&gt;"COMPOSICAO",$B60&lt;&gt;"INSUMO",$B60&lt;&gt;"")</formula>
    </cfRule>
    <cfRule type="expression" dxfId="296" priority="294" stopIfTrue="1">
      <formula>AND(OR($B60="COMPOSICAO",$B60="INSUMO",$B60&lt;&gt;""),$B60&lt;&gt;"")</formula>
    </cfRule>
  </conditionalFormatting>
  <conditionalFormatting sqref="B57:G57">
    <cfRule type="expression" dxfId="295" priority="303" stopIfTrue="1">
      <formula>AND($B57&lt;&gt;"COMPOSICAO",$B57&lt;&gt;"INSUMO",$B57&lt;&gt;"")</formula>
    </cfRule>
    <cfRule type="expression" dxfId="294" priority="304" stopIfTrue="1">
      <formula>AND(OR($B57="COMPOSICAO",$B57="INSUMO",$B57&lt;&gt;""),$B57&lt;&gt;"")</formula>
    </cfRule>
  </conditionalFormatting>
  <conditionalFormatting sqref="K94">
    <cfRule type="expression" dxfId="293" priority="199" stopIfTrue="1">
      <formula>AND($B94&lt;&gt;"COMPOSICAO",$B94&lt;&gt;"INSUMO",$B94&lt;&gt;"")</formula>
    </cfRule>
    <cfRule type="expression" dxfId="292" priority="200" stopIfTrue="1">
      <formula>AND(OR($B94="COMPOSICAO",$B94="INSUMO",$B94&lt;&gt;""),$B94&lt;&gt;"")</formula>
    </cfRule>
  </conditionalFormatting>
  <conditionalFormatting sqref="J57">
    <cfRule type="expression" dxfId="291" priority="297" stopIfTrue="1">
      <formula>AND($B57&lt;&gt;"COMPOSICAO",$B57&lt;&gt;"INSUMO",$B57&lt;&gt;"")</formula>
    </cfRule>
    <cfRule type="expression" dxfId="290" priority="298" stopIfTrue="1">
      <formula>AND(OR($B57="COMPOSICAO",$B57="INSUMO",$B57&lt;&gt;""),$B57&lt;&gt;"")</formula>
    </cfRule>
  </conditionalFormatting>
  <conditionalFormatting sqref="I57">
    <cfRule type="expression" dxfId="289" priority="299" stopIfTrue="1">
      <formula>AND($B57&lt;&gt;"COMPOSICAO",$B57&lt;&gt;"INSUMO",$B57&lt;&gt;"")</formula>
    </cfRule>
    <cfRule type="expression" dxfId="288" priority="300" stopIfTrue="1">
      <formula>AND(OR($B57="COMPOSICAO",$B57="INSUMO",$B57&lt;&gt;""),$B57&lt;&gt;"")</formula>
    </cfRule>
  </conditionalFormatting>
  <conditionalFormatting sqref="K57">
    <cfRule type="expression" dxfId="287" priority="295" stopIfTrue="1">
      <formula>AND($B57&lt;&gt;"COMPOSICAO",$B57&lt;&gt;"INSUMO",$B57&lt;&gt;"")</formula>
    </cfRule>
    <cfRule type="expression" dxfId="286" priority="296" stopIfTrue="1">
      <formula>AND(OR($B57="COMPOSICAO",$B57="INSUMO",$B57&lt;&gt;""),$B57&lt;&gt;"")</formula>
    </cfRule>
  </conditionalFormatting>
  <conditionalFormatting sqref="D70:G70 K70">
    <cfRule type="expression" dxfId="285" priority="289" stopIfTrue="1">
      <formula>AND($B70&lt;&gt;"COMPOSICAO",$B70&lt;&gt;"INSUMO",$B70&lt;&gt;"")</formula>
    </cfRule>
    <cfRule type="expression" dxfId="284" priority="290" stopIfTrue="1">
      <formula>AND(OR($B70="COMPOSICAO",$B70="INSUMO",$B70&lt;&gt;""),$B70&lt;&gt;"")</formula>
    </cfRule>
  </conditionalFormatting>
  <conditionalFormatting sqref="B66:C66">
    <cfRule type="expression" dxfId="283" priority="287" stopIfTrue="1">
      <formula>AND($B66&lt;&gt;"COMPOSICAO",$B66&lt;&gt;"INSUMO",$B66&lt;&gt;"")</formula>
    </cfRule>
    <cfRule type="expression" dxfId="282" priority="288" stopIfTrue="1">
      <formula>AND(OR($B66="COMPOSICAO",$B66="INSUMO",$B66&lt;&gt;""),$B66&lt;&gt;"")</formula>
    </cfRule>
  </conditionalFormatting>
  <conditionalFormatting sqref="D66">
    <cfRule type="expression" dxfId="281" priority="285" stopIfTrue="1">
      <formula>AND($B66&lt;&gt;"COMPOSICAO",$B66&lt;&gt;"INSUMO",$B66&lt;&gt;"")</formula>
    </cfRule>
    <cfRule type="expression" dxfId="280" priority="286" stopIfTrue="1">
      <formula>AND(OR($B66="COMPOSICAO",$B66="INSUMO",$B66&lt;&gt;""),$B66&lt;&gt;"")</formula>
    </cfRule>
  </conditionalFormatting>
  <conditionalFormatting sqref="E66:H66">
    <cfRule type="expression" dxfId="279" priority="283" stopIfTrue="1">
      <formula>AND($B66&lt;&gt;"COMPOSICAO",$B66&lt;&gt;"INSUMO",$B66&lt;&gt;"")</formula>
    </cfRule>
    <cfRule type="expression" dxfId="278" priority="284" stopIfTrue="1">
      <formula>AND(OR($B66="COMPOSICAO",$B66="INSUMO",$B66&lt;&gt;""),$B66&lt;&gt;"")</formula>
    </cfRule>
  </conditionalFormatting>
  <conditionalFormatting sqref="I66:J66">
    <cfRule type="expression" dxfId="277" priority="281" stopIfTrue="1">
      <formula>AND($B66&lt;&gt;"COMPOSICAO",$B66&lt;&gt;"INSUMO",$B66&lt;&gt;"")</formula>
    </cfRule>
    <cfRule type="expression" dxfId="276" priority="282" stopIfTrue="1">
      <formula>AND(OR($B66="COMPOSICAO",$B66="INSUMO",$B66&lt;&gt;""),$B66&lt;&gt;"")</formula>
    </cfRule>
  </conditionalFormatting>
  <conditionalFormatting sqref="D67">
    <cfRule type="expression" dxfId="275" priority="279" stopIfTrue="1">
      <formula>AND($B67&lt;&gt;"COMPOSICAO",$B67&lt;&gt;"INSUMO",$B67&lt;&gt;"")</formula>
    </cfRule>
    <cfRule type="expression" dxfId="274" priority="280" stopIfTrue="1">
      <formula>AND(OR($B67="COMPOSICAO",$B67="INSUMO",$B67&lt;&gt;""),$B67&lt;&gt;"")</formula>
    </cfRule>
  </conditionalFormatting>
  <conditionalFormatting sqref="E67:G67">
    <cfRule type="expression" dxfId="273" priority="277" stopIfTrue="1">
      <formula>AND($B67&lt;&gt;"COMPOSICAO",$B67&lt;&gt;"INSUMO",$B67&lt;&gt;"")</formula>
    </cfRule>
    <cfRule type="expression" dxfId="272" priority="278" stopIfTrue="1">
      <formula>AND(OR($B67="COMPOSICAO",$B67="INSUMO",$B67&lt;&gt;""),$B67&lt;&gt;"")</formula>
    </cfRule>
  </conditionalFormatting>
  <conditionalFormatting sqref="K67">
    <cfRule type="expression" dxfId="271" priority="275" stopIfTrue="1">
      <formula>AND($B67&lt;&gt;"COMPOSICAO",$B67&lt;&gt;"INSUMO",$B67&lt;&gt;"")</formula>
    </cfRule>
    <cfRule type="expression" dxfId="270" priority="276" stopIfTrue="1">
      <formula>AND(OR($B67="COMPOSICAO",$B67="INSUMO",$B67&lt;&gt;""),$B67&lt;&gt;"")</formula>
    </cfRule>
  </conditionalFormatting>
  <conditionalFormatting sqref="B69">
    <cfRule type="expression" dxfId="269" priority="273" stopIfTrue="1">
      <formula>AND($B69&lt;&gt;"COMPOSICAO",$B69&lt;&gt;"INSUMO",$B69&lt;&gt;"")</formula>
    </cfRule>
    <cfRule type="expression" dxfId="268" priority="274" stopIfTrue="1">
      <formula>AND(OR($B69="COMPOSICAO",$B69="INSUMO",$B69&lt;&gt;""),$B69&lt;&gt;"")</formula>
    </cfRule>
  </conditionalFormatting>
  <conditionalFormatting sqref="D69">
    <cfRule type="expression" dxfId="267" priority="271" stopIfTrue="1">
      <formula>AND($B69&lt;&gt;"COMPOSICAO",$B69&lt;&gt;"INSUMO",$B69&lt;&gt;"")</formula>
    </cfRule>
    <cfRule type="expression" dxfId="266" priority="272" stopIfTrue="1">
      <formula>AND(OR($B69="COMPOSICAO",$B69="INSUMO",$B69&lt;&gt;""),$B69&lt;&gt;"")</formula>
    </cfRule>
  </conditionalFormatting>
  <conditionalFormatting sqref="E69:H69">
    <cfRule type="expression" dxfId="265" priority="269" stopIfTrue="1">
      <formula>AND($B69&lt;&gt;"COMPOSICAO",$B69&lt;&gt;"INSUMO",$B69&lt;&gt;"")</formula>
    </cfRule>
    <cfRule type="expression" dxfId="264" priority="270" stopIfTrue="1">
      <formula>AND(OR($B69="COMPOSICAO",$B69="INSUMO",$B69&lt;&gt;""),$B69&lt;&gt;"")</formula>
    </cfRule>
  </conditionalFormatting>
  <conditionalFormatting sqref="I69">
    <cfRule type="expression" dxfId="263" priority="267" stopIfTrue="1">
      <formula>AND($B69&lt;&gt;"COMPOSICAO",$B69&lt;&gt;"INSUMO",$B69&lt;&gt;"")</formula>
    </cfRule>
    <cfRule type="expression" dxfId="262" priority="268" stopIfTrue="1">
      <formula>AND(OR($B69="COMPOSICAO",$B69="INSUMO",$B69&lt;&gt;""),$B69&lt;&gt;"")</formula>
    </cfRule>
  </conditionalFormatting>
  <conditionalFormatting sqref="J69">
    <cfRule type="expression" dxfId="261" priority="265" stopIfTrue="1">
      <formula>AND($B69&lt;&gt;"COMPOSICAO",$B69&lt;&gt;"INSUMO",$B69&lt;&gt;"")</formula>
    </cfRule>
    <cfRule type="expression" dxfId="260" priority="266" stopIfTrue="1">
      <formula>AND(OR($B69="COMPOSICAO",$B69="INSUMO",$B69&lt;&gt;""),$B69&lt;&gt;"")</formula>
    </cfRule>
  </conditionalFormatting>
  <conditionalFormatting sqref="K66">
    <cfRule type="expression" dxfId="259" priority="263" stopIfTrue="1">
      <formula>AND($B66&lt;&gt;"COMPOSICAO",$B66&lt;&gt;"INSUMO",$B66&lt;&gt;"")</formula>
    </cfRule>
    <cfRule type="expression" dxfId="258" priority="264" stopIfTrue="1">
      <formula>AND(OR($B66="COMPOSICAO",$B66="INSUMO",$B66&lt;&gt;""),$B66&lt;&gt;"")</formula>
    </cfRule>
  </conditionalFormatting>
  <conditionalFormatting sqref="K69">
    <cfRule type="expression" dxfId="257" priority="261" stopIfTrue="1">
      <formula>AND($B69&lt;&gt;"COMPOSICAO",$B69&lt;&gt;"INSUMO",$B69&lt;&gt;"")</formula>
    </cfRule>
    <cfRule type="expression" dxfId="256" priority="262" stopIfTrue="1">
      <formula>AND(OR($B69="COMPOSICAO",$B69="INSUMO",$B69&lt;&gt;""),$B69&lt;&gt;"")</formula>
    </cfRule>
  </conditionalFormatting>
  <conditionalFormatting sqref="C69">
    <cfRule type="expression" dxfId="255" priority="259" stopIfTrue="1">
      <formula>AND($B69&lt;&gt;"COMPOSICAO",$B69&lt;&gt;"INSUMO",$B69&lt;&gt;"")</formula>
    </cfRule>
    <cfRule type="expression" dxfId="254" priority="260" stopIfTrue="1">
      <formula>AND(OR($B69="COMPOSICAO",$B69="INSUMO",$B69&lt;&gt;""),$B69&lt;&gt;"")</formula>
    </cfRule>
  </conditionalFormatting>
  <conditionalFormatting sqref="B72">
    <cfRule type="expression" dxfId="253" priority="257" stopIfTrue="1">
      <formula>AND($B72&lt;&gt;"COMPOSICAO",$B72&lt;&gt;"INSUMO",$B72&lt;&gt;"")</formula>
    </cfRule>
    <cfRule type="expression" dxfId="252" priority="258" stopIfTrue="1">
      <formula>AND(OR($B72="COMPOSICAO",$B72="INSUMO",$B72&lt;&gt;""),$B72&lt;&gt;"")</formula>
    </cfRule>
  </conditionalFormatting>
  <conditionalFormatting sqref="C72">
    <cfRule type="expression" dxfId="251" priority="255" stopIfTrue="1">
      <formula>AND($B72&lt;&gt;"COMPOSICAO",$B72&lt;&gt;"INSUMO",$B72&lt;&gt;"")</formula>
    </cfRule>
    <cfRule type="expression" dxfId="250" priority="256" stopIfTrue="1">
      <formula>AND(OR($B72="COMPOSICAO",$B72="INSUMO",$B72&lt;&gt;""),$B72&lt;&gt;"")</formula>
    </cfRule>
  </conditionalFormatting>
  <conditionalFormatting sqref="D72">
    <cfRule type="expression" dxfId="249" priority="253" stopIfTrue="1">
      <formula>AND($B72&lt;&gt;"COMPOSICAO",$B72&lt;&gt;"INSUMO",$B72&lt;&gt;"")</formula>
    </cfRule>
    <cfRule type="expression" dxfId="248" priority="254" stopIfTrue="1">
      <formula>AND(OR($B72="COMPOSICAO",$B72="INSUMO",$B72&lt;&gt;""),$B72&lt;&gt;"")</formula>
    </cfRule>
  </conditionalFormatting>
  <conditionalFormatting sqref="E72">
    <cfRule type="expression" dxfId="247" priority="251" stopIfTrue="1">
      <formula>AND($B72&lt;&gt;"COMPOSICAO",$B72&lt;&gt;"INSUMO",$B72&lt;&gt;"")</formula>
    </cfRule>
    <cfRule type="expression" dxfId="246" priority="252" stopIfTrue="1">
      <formula>AND(OR($B72="COMPOSICAO",$B72="INSUMO",$B72&lt;&gt;""),$B72&lt;&gt;"")</formula>
    </cfRule>
  </conditionalFormatting>
  <conditionalFormatting sqref="F72:H72">
    <cfRule type="expression" dxfId="245" priority="249" stopIfTrue="1">
      <formula>AND($B72&lt;&gt;"COMPOSICAO",$B72&lt;&gt;"INSUMO",$B72&lt;&gt;"")</formula>
    </cfRule>
    <cfRule type="expression" dxfId="244" priority="250" stopIfTrue="1">
      <formula>AND(OR($B72="COMPOSICAO",$B72="INSUMO",$B72&lt;&gt;""),$B72&lt;&gt;"")</formula>
    </cfRule>
  </conditionalFormatting>
  <conditionalFormatting sqref="I72">
    <cfRule type="expression" dxfId="243" priority="247" stopIfTrue="1">
      <formula>AND($B72&lt;&gt;"COMPOSICAO",$B72&lt;&gt;"INSUMO",$B72&lt;&gt;"")</formula>
    </cfRule>
    <cfRule type="expression" dxfId="242" priority="248" stopIfTrue="1">
      <formula>AND(OR($B72="COMPOSICAO",$B72="INSUMO",$B72&lt;&gt;""),$B72&lt;&gt;"")</formula>
    </cfRule>
  </conditionalFormatting>
  <conditionalFormatting sqref="J72">
    <cfRule type="expression" dxfId="241" priority="245" stopIfTrue="1">
      <formula>AND($B72&lt;&gt;"COMPOSICAO",$B72&lt;&gt;"INSUMO",$B72&lt;&gt;"")</formula>
    </cfRule>
    <cfRule type="expression" dxfId="240" priority="246" stopIfTrue="1">
      <formula>AND(OR($B72="COMPOSICAO",$B72="INSUMO",$B72&lt;&gt;""),$B72&lt;&gt;"")</formula>
    </cfRule>
  </conditionalFormatting>
  <conditionalFormatting sqref="K72">
    <cfRule type="expression" dxfId="239" priority="243" stopIfTrue="1">
      <formula>AND($B72&lt;&gt;"COMPOSICAO",$B72&lt;&gt;"INSUMO",$B72&lt;&gt;"")</formula>
    </cfRule>
    <cfRule type="expression" dxfId="238" priority="244" stopIfTrue="1">
      <formula>AND(OR($B72="COMPOSICAO",$B72="INSUMO",$B72&lt;&gt;""),$B72&lt;&gt;"")</formula>
    </cfRule>
  </conditionalFormatting>
  <conditionalFormatting sqref="K78">
    <cfRule type="expression" dxfId="237" priority="237" stopIfTrue="1">
      <formula>AND($B78&lt;&gt;"COMPOSICAO",$B78&lt;&gt;"INSUMO",$B78&lt;&gt;"")</formula>
    </cfRule>
    <cfRule type="expression" dxfId="236" priority="238" stopIfTrue="1">
      <formula>AND(OR($B78="COMPOSICAO",$B78="INSUMO",$B78&lt;&gt;""),$B78&lt;&gt;"")</formula>
    </cfRule>
  </conditionalFormatting>
  <conditionalFormatting sqref="B78:D78 F78">
    <cfRule type="expression" dxfId="235" priority="241" stopIfTrue="1">
      <formula>AND($B78&lt;&gt;"COMPOSICAO",$B78&lt;&gt;"INSUMO",$B78&lt;&gt;"")</formula>
    </cfRule>
    <cfRule type="expression" dxfId="234" priority="242" stopIfTrue="1">
      <formula>AND(OR($B78="COMPOSICAO",$B78="INSUMO",$B78&lt;&gt;""),$B78&lt;&gt;"")</formula>
    </cfRule>
  </conditionalFormatting>
  <conditionalFormatting sqref="G78:H78">
    <cfRule type="expression" dxfId="233" priority="239" stopIfTrue="1">
      <formula>AND($B78&lt;&gt;"COMPOSICAO",$B78&lt;&gt;"INSUMO",$B78&lt;&gt;"")</formula>
    </cfRule>
    <cfRule type="expression" dxfId="232" priority="240" stopIfTrue="1">
      <formula>AND(OR($B78="COMPOSICAO",$B78="INSUMO",$B78&lt;&gt;""),$B78&lt;&gt;"")</formula>
    </cfRule>
  </conditionalFormatting>
  <conditionalFormatting sqref="B80:B81 D79:F81">
    <cfRule type="expression" dxfId="231" priority="235" stopIfTrue="1">
      <formula>AND($A79&lt;&gt;"COMPOSICAO",$A79&lt;&gt;"INSUMO",$A79&lt;&gt;"")</formula>
    </cfRule>
    <cfRule type="expression" dxfId="230" priority="236" stopIfTrue="1">
      <formula>AND(OR($A79="COMPOSICAO",$A79="INSUMO",$A79&lt;&gt;""),$A79&lt;&gt;"")</formula>
    </cfRule>
  </conditionalFormatting>
  <conditionalFormatting sqref="D79:D81">
    <cfRule type="expression" dxfId="229" priority="233" stopIfTrue="1">
      <formula>AND($A79&lt;&gt;"COMPOSICAO",$A79&lt;&gt;"INSUMO",$A79&lt;&gt;"")</formula>
    </cfRule>
    <cfRule type="expression" dxfId="228" priority="234" stopIfTrue="1">
      <formula>AND(OR($A79="COMPOSICAO",$A79="INSUMO",$A79&lt;&gt;""),$A79&lt;&gt;"")</formula>
    </cfRule>
  </conditionalFormatting>
  <conditionalFormatting sqref="E79:E81">
    <cfRule type="expression" dxfId="227" priority="231" stopIfTrue="1">
      <formula>AND($A79&lt;&gt;"COMPOSICAO",$A79&lt;&gt;"INSUMO",$A79&lt;&gt;"")</formula>
    </cfRule>
    <cfRule type="expression" dxfId="226" priority="232" stopIfTrue="1">
      <formula>AND(OR($A79="COMPOSICAO",$A79="INSUMO",$A79&lt;&gt;""),$A79&lt;&gt;"")</formula>
    </cfRule>
  </conditionalFormatting>
  <conditionalFormatting sqref="F79:F81">
    <cfRule type="expression" dxfId="225" priority="229" stopIfTrue="1">
      <formula>AND($A79&lt;&gt;"COMPOSICAO",$A79&lt;&gt;"INSUMO",$A79&lt;&gt;"")</formula>
    </cfRule>
    <cfRule type="expression" dxfId="224" priority="230" stopIfTrue="1">
      <formula>AND(OR($A79="COMPOSICAO",$A79="INSUMO",$A79&lt;&gt;""),$A79&lt;&gt;"")</formula>
    </cfRule>
  </conditionalFormatting>
  <conditionalFormatting sqref="I78:J78">
    <cfRule type="expression" dxfId="223" priority="227" stopIfTrue="1">
      <formula>AND($B78&lt;&gt;"COMPOSICAO",$B78&lt;&gt;"INSUMO",$B78&lt;&gt;"")</formula>
    </cfRule>
    <cfRule type="expression" dxfId="222" priority="228" stopIfTrue="1">
      <formula>AND(OR($B78="COMPOSICAO",$B78="INSUMO",$B78&lt;&gt;""),$B78&lt;&gt;"")</formula>
    </cfRule>
  </conditionalFormatting>
  <conditionalFormatting sqref="B79">
    <cfRule type="expression" dxfId="221" priority="225" stopIfTrue="1">
      <formula>AND($A79&lt;&gt;"COMPOSICAO",$A79&lt;&gt;"INSUMO",$A79&lt;&gt;"")</formula>
    </cfRule>
    <cfRule type="expression" dxfId="220" priority="226" stopIfTrue="1">
      <formula>AND(OR($A79="COMPOSICAO",$A79="INSUMO",$A79&lt;&gt;""),$A79&lt;&gt;"")</formula>
    </cfRule>
  </conditionalFormatting>
  <conditionalFormatting sqref="E78">
    <cfRule type="expression" dxfId="219" priority="223" stopIfTrue="1">
      <formula>AND($B78&lt;&gt;"COMPOSICAO",$B78&lt;&gt;"INSUMO",$B78&lt;&gt;"")</formula>
    </cfRule>
    <cfRule type="expression" dxfId="218" priority="224" stopIfTrue="1">
      <formula>AND(OR($B78="COMPOSICAO",$B78="INSUMO",$B78&lt;&gt;""),$B78&lt;&gt;"")</formula>
    </cfRule>
  </conditionalFormatting>
  <conditionalFormatting sqref="B88">
    <cfRule type="expression" dxfId="217" priority="221" stopIfTrue="1">
      <formula>AND($B88&lt;&gt;"COMPOSICAO",$B88&lt;&gt;"INSUMO",$B88&lt;&gt;"")</formula>
    </cfRule>
    <cfRule type="expression" dxfId="216" priority="222" stopIfTrue="1">
      <formula>AND(OR($B88="COMPOSICAO",$B88="INSUMO",$B88&lt;&gt;""),$B88&lt;&gt;"")</formula>
    </cfRule>
  </conditionalFormatting>
  <conditionalFormatting sqref="D88">
    <cfRule type="expression" dxfId="215" priority="219" stopIfTrue="1">
      <formula>AND($B88&lt;&gt;"COMPOSICAO",$B88&lt;&gt;"INSUMO",$B88&lt;&gt;"")</formula>
    </cfRule>
    <cfRule type="expression" dxfId="214" priority="220" stopIfTrue="1">
      <formula>AND(OR($B88="COMPOSICAO",$B88="INSUMO",$B88&lt;&gt;""),$B88&lt;&gt;"")</formula>
    </cfRule>
  </conditionalFormatting>
  <conditionalFormatting sqref="E88:H88">
    <cfRule type="expression" dxfId="213" priority="217" stopIfTrue="1">
      <formula>AND($B88&lt;&gt;"COMPOSICAO",$B88&lt;&gt;"INSUMO",$B88&lt;&gt;"")</formula>
    </cfRule>
    <cfRule type="expression" dxfId="212" priority="218" stopIfTrue="1">
      <formula>AND(OR($B88="COMPOSICAO",$B88="INSUMO",$B88&lt;&gt;""),$B88&lt;&gt;"")</formula>
    </cfRule>
  </conditionalFormatting>
  <conditionalFormatting sqref="I88">
    <cfRule type="expression" dxfId="211" priority="215" stopIfTrue="1">
      <formula>AND($B88&lt;&gt;"COMPOSICAO",$B88&lt;&gt;"INSUMO",$B88&lt;&gt;"")</formula>
    </cfRule>
    <cfRule type="expression" dxfId="210" priority="216" stopIfTrue="1">
      <formula>AND(OR($B88="COMPOSICAO",$B88="INSUMO",$B88&lt;&gt;""),$B88&lt;&gt;"")</formula>
    </cfRule>
  </conditionalFormatting>
  <conditionalFormatting sqref="J88">
    <cfRule type="expression" dxfId="209" priority="213" stopIfTrue="1">
      <formula>AND($B88&lt;&gt;"COMPOSICAO",$B88&lt;&gt;"INSUMO",$B88&lt;&gt;"")</formula>
    </cfRule>
    <cfRule type="expression" dxfId="208" priority="214" stopIfTrue="1">
      <formula>AND(OR($B88="COMPOSICAO",$B88="INSUMO",$B88&lt;&gt;""),$B88&lt;&gt;"")</formula>
    </cfRule>
  </conditionalFormatting>
  <conditionalFormatting sqref="K88">
    <cfRule type="expression" dxfId="207" priority="211" stopIfTrue="1">
      <formula>AND($B88&lt;&gt;"COMPOSICAO",$B88&lt;&gt;"INSUMO",$B88&lt;&gt;"")</formula>
    </cfRule>
    <cfRule type="expression" dxfId="206" priority="212" stopIfTrue="1">
      <formula>AND(OR($B88="COMPOSICAO",$B88="INSUMO",$B88&lt;&gt;""),$B88&lt;&gt;"")</formula>
    </cfRule>
  </conditionalFormatting>
  <conditionalFormatting sqref="C88">
    <cfRule type="expression" dxfId="205" priority="209" stopIfTrue="1">
      <formula>AND($B88&lt;&gt;"COMPOSICAO",$B88&lt;&gt;"INSUMO",$B88&lt;&gt;"")</formula>
    </cfRule>
    <cfRule type="expression" dxfId="204" priority="210" stopIfTrue="1">
      <formula>AND(OR($B88="COMPOSICAO",$B88="INSUMO",$B88&lt;&gt;""),$B88&lt;&gt;"")</formula>
    </cfRule>
  </conditionalFormatting>
  <conditionalFormatting sqref="B94:C94">
    <cfRule type="expression" dxfId="203" priority="207" stopIfTrue="1">
      <formula>AND($B94&lt;&gt;"COMPOSICAO",$B94&lt;&gt;"INSUMO",$B94&lt;&gt;"")</formula>
    </cfRule>
    <cfRule type="expression" dxfId="202" priority="208" stopIfTrue="1">
      <formula>AND(OR($B94="COMPOSICAO",$B94="INSUMO",$B94&lt;&gt;""),$B94&lt;&gt;"")</formula>
    </cfRule>
  </conditionalFormatting>
  <conditionalFormatting sqref="D94">
    <cfRule type="expression" dxfId="201" priority="205" stopIfTrue="1">
      <formula>AND($B94&lt;&gt;"COMPOSICAO",$B94&lt;&gt;"INSUMO",$B94&lt;&gt;"")</formula>
    </cfRule>
    <cfRule type="expression" dxfId="200" priority="206" stopIfTrue="1">
      <formula>AND(OR($B94="COMPOSICAO",$B94="INSUMO",$B94&lt;&gt;""),$B94&lt;&gt;"")</formula>
    </cfRule>
  </conditionalFormatting>
  <conditionalFormatting sqref="E94:H94">
    <cfRule type="expression" dxfId="199" priority="203" stopIfTrue="1">
      <formula>AND($B94&lt;&gt;"COMPOSICAO",$B94&lt;&gt;"INSUMO",$B94&lt;&gt;"")</formula>
    </cfRule>
    <cfRule type="expression" dxfId="198" priority="204" stopIfTrue="1">
      <formula>AND(OR($B94="COMPOSICAO",$B94="INSUMO",$B94&lt;&gt;""),$B94&lt;&gt;"")</formula>
    </cfRule>
  </conditionalFormatting>
  <conditionalFormatting sqref="I94">
    <cfRule type="expression" dxfId="197" priority="201" stopIfTrue="1">
      <formula>AND($B94&lt;&gt;"COMPOSICAO",$B94&lt;&gt;"INSUMO",$B94&lt;&gt;"")</formula>
    </cfRule>
    <cfRule type="expression" dxfId="196" priority="202" stopIfTrue="1">
      <formula>AND(OR($B94="COMPOSICAO",$B94="INSUMO",$B94&lt;&gt;""),$B94&lt;&gt;"")</formula>
    </cfRule>
  </conditionalFormatting>
  <conditionalFormatting sqref="B96:F97">
    <cfRule type="expression" dxfId="195" priority="197" stopIfTrue="1">
      <formula>AND($A96&lt;&gt;"COMPOSICAO",$A96&lt;&gt;"INSUMO",$A96&lt;&gt;"")</formula>
    </cfRule>
    <cfRule type="expression" dxfId="194" priority="198" stopIfTrue="1">
      <formula>AND(OR($A96="COMPOSICAO",$A96="INSUMO",$A96&lt;&gt;""),$A96&lt;&gt;"")</formula>
    </cfRule>
  </conditionalFormatting>
  <conditionalFormatting sqref="J94">
    <cfRule type="expression" dxfId="193" priority="195" stopIfTrue="1">
      <formula>AND($B94&lt;&gt;"COMPOSICAO",$B94&lt;&gt;"INSUMO",$B94&lt;&gt;"")</formula>
    </cfRule>
    <cfRule type="expression" dxfId="192" priority="196" stopIfTrue="1">
      <formula>AND(OR($B94="COMPOSICAO",$B94="INSUMO",$B94&lt;&gt;""),$B94&lt;&gt;"")</formula>
    </cfRule>
  </conditionalFormatting>
  <conditionalFormatting sqref="E115:H115">
    <cfRule type="expression" dxfId="191" priority="189" stopIfTrue="1">
      <formula>AND($B115&lt;&gt;"COMPOSICAO",$B115&lt;&gt;"INSUMO",$B115&lt;&gt;"")</formula>
    </cfRule>
    <cfRule type="expression" dxfId="190" priority="190" stopIfTrue="1">
      <formula>AND(OR($B115="COMPOSICAO",$B115="INSUMO",$B115&lt;&gt;""),$B115&lt;&gt;"")</formula>
    </cfRule>
  </conditionalFormatting>
  <conditionalFormatting sqref="D115">
    <cfRule type="expression" dxfId="189" priority="191" stopIfTrue="1">
      <formula>AND($B115&lt;&gt;"COMPOSICAO",$B115&lt;&gt;"INSUMO",$B115&lt;&gt;"")</formula>
    </cfRule>
    <cfRule type="expression" dxfId="188" priority="192" stopIfTrue="1">
      <formula>AND(OR($B115="COMPOSICAO",$B115="INSUMO",$B115&lt;&gt;""),$B115&lt;&gt;"")</formula>
    </cfRule>
  </conditionalFormatting>
  <conditionalFormatting sqref="B115">
    <cfRule type="expression" dxfId="187" priority="193" stopIfTrue="1">
      <formula>AND($B115&lt;&gt;"COMPOSICAO",$B115&lt;&gt;"INSUMO",$B115&lt;&gt;"")</formula>
    </cfRule>
    <cfRule type="expression" dxfId="186" priority="194" stopIfTrue="1">
      <formula>AND(OR($B115="COMPOSICAO",$B115="INSUMO",$B115&lt;&gt;""),$B115&lt;&gt;"")</formula>
    </cfRule>
  </conditionalFormatting>
  <conditionalFormatting sqref="I115">
    <cfRule type="expression" dxfId="185" priority="187" stopIfTrue="1">
      <formula>AND($B115&lt;&gt;"COMPOSICAO",$B115&lt;&gt;"INSUMO",$B115&lt;&gt;"")</formula>
    </cfRule>
    <cfRule type="expression" dxfId="184" priority="188" stopIfTrue="1">
      <formula>AND(OR($B115="COMPOSICAO",$B115="INSUMO",$B115&lt;&gt;""),$B115&lt;&gt;"")</formula>
    </cfRule>
  </conditionalFormatting>
  <conditionalFormatting sqref="J115">
    <cfRule type="expression" dxfId="183" priority="185" stopIfTrue="1">
      <formula>AND($B115&lt;&gt;"COMPOSICAO",$B115&lt;&gt;"INSUMO",$B115&lt;&gt;"")</formula>
    </cfRule>
    <cfRule type="expression" dxfId="182" priority="186" stopIfTrue="1">
      <formula>AND(OR($B115="COMPOSICAO",$B115="INSUMO",$B115&lt;&gt;""),$B115&lt;&gt;"")</formula>
    </cfRule>
  </conditionalFormatting>
  <conditionalFormatting sqref="C115">
    <cfRule type="expression" dxfId="181" priority="183" stopIfTrue="1">
      <formula>AND($B115&lt;&gt;"COMPOSICAO",$B115&lt;&gt;"INSUMO",$B115&lt;&gt;"")</formula>
    </cfRule>
    <cfRule type="expression" dxfId="180" priority="184" stopIfTrue="1">
      <formula>AND(OR($B115="COMPOSICAO",$B115="INSUMO",$B115&lt;&gt;""),$B115&lt;&gt;"")</formula>
    </cfRule>
  </conditionalFormatting>
  <conditionalFormatting sqref="K115">
    <cfRule type="expression" dxfId="179" priority="181" stopIfTrue="1">
      <formula>AND($B115&lt;&gt;"COMPOSICAO",$B115&lt;&gt;"INSUMO",$B115&lt;&gt;"")</formula>
    </cfRule>
    <cfRule type="expression" dxfId="178" priority="182" stopIfTrue="1">
      <formula>AND(OR($B115="COMPOSICAO",$B115="INSUMO",$B115&lt;&gt;""),$B115&lt;&gt;"")</formula>
    </cfRule>
  </conditionalFormatting>
  <conditionalFormatting sqref="I128">
    <cfRule type="expression" dxfId="177" priority="173" stopIfTrue="1">
      <formula>AND($B128&lt;&gt;"COMPOSICAO",$B128&lt;&gt;"INSUMO",$B128&lt;&gt;"")</formula>
    </cfRule>
    <cfRule type="expression" dxfId="176" priority="174" stopIfTrue="1">
      <formula>AND(OR($B128="COMPOSICAO",$B128="INSUMO",$B128&lt;&gt;""),$B128&lt;&gt;"")</formula>
    </cfRule>
  </conditionalFormatting>
  <conditionalFormatting sqref="B127:G127">
    <cfRule type="expression" dxfId="175" priority="177" stopIfTrue="1">
      <formula>AND($A127&lt;&gt;"COMPOSICAO",$A127&lt;&gt;"INSUMO",$A127&lt;&gt;"")</formula>
    </cfRule>
    <cfRule type="expression" dxfId="174" priority="178" stopIfTrue="1">
      <formula>AND(OR($A127="COMPOSICAO",$A127="INSUMO",$A127&lt;&gt;""),$A127&lt;&gt;"")</formula>
    </cfRule>
  </conditionalFormatting>
  <conditionalFormatting sqref="J128">
    <cfRule type="expression" dxfId="173" priority="171" stopIfTrue="1">
      <formula>AND($B128&lt;&gt;"COMPOSICAO",$B128&lt;&gt;"INSUMO",$B128&lt;&gt;"")</formula>
    </cfRule>
    <cfRule type="expression" dxfId="172" priority="172" stopIfTrue="1">
      <formula>AND(OR($B128="COMPOSICAO",$B128="INSUMO",$B128&lt;&gt;""),$B128&lt;&gt;"")</formula>
    </cfRule>
  </conditionalFormatting>
  <conditionalFormatting sqref="H128">
    <cfRule type="expression" dxfId="171" priority="175" stopIfTrue="1">
      <formula>AND($B128&lt;&gt;"COMPOSICAO",$B128&lt;&gt;"INSUMO",$B128&lt;&gt;"")</formula>
    </cfRule>
    <cfRule type="expression" dxfId="170" priority="176" stopIfTrue="1">
      <formula>AND(OR($B128="COMPOSICAO",$B128="INSUMO",$B128&lt;&gt;""),$B128&lt;&gt;"")</formula>
    </cfRule>
  </conditionalFormatting>
  <conditionalFormatting sqref="K128">
    <cfRule type="expression" dxfId="169" priority="169" stopIfTrue="1">
      <formula>AND($B128&lt;&gt;"COMPOSICAO",$B128&lt;&gt;"INSUMO",$B128&lt;&gt;"")</formula>
    </cfRule>
    <cfRule type="expression" dxfId="168" priority="170" stopIfTrue="1">
      <formula>AND(OR($B128="COMPOSICAO",$B128="INSUMO",$B128&lt;&gt;""),$B128&lt;&gt;"")</formula>
    </cfRule>
  </conditionalFormatting>
  <conditionalFormatting sqref="D122">
    <cfRule type="expression" dxfId="167" priority="165" stopIfTrue="1">
      <formula>AND($B122&lt;&gt;"COMPOSICAO",$B122&lt;&gt;"INSUMO",$B122&lt;&gt;"")</formula>
    </cfRule>
    <cfRule type="expression" dxfId="166" priority="166" stopIfTrue="1">
      <formula>AND(OR($B122="COMPOSICAO",$B122="INSUMO",$B122&lt;&gt;""),$B122&lt;&gt;"")</formula>
    </cfRule>
  </conditionalFormatting>
  <conditionalFormatting sqref="E122:H122">
    <cfRule type="expression" dxfId="165" priority="163" stopIfTrue="1">
      <formula>AND($B122&lt;&gt;"COMPOSICAO",$B122&lt;&gt;"INSUMO",$B122&lt;&gt;"")</formula>
    </cfRule>
    <cfRule type="expression" dxfId="164" priority="164" stopIfTrue="1">
      <formula>AND(OR($B122="COMPOSICAO",$B122="INSUMO",$B122&lt;&gt;""),$B122&lt;&gt;"")</formula>
    </cfRule>
  </conditionalFormatting>
  <conditionalFormatting sqref="B122">
    <cfRule type="expression" dxfId="163" priority="167" stopIfTrue="1">
      <formula>AND($B122&lt;&gt;"COMPOSICAO",$B122&lt;&gt;"INSUMO",$B122&lt;&gt;"")</formula>
    </cfRule>
    <cfRule type="expression" dxfId="162" priority="168" stopIfTrue="1">
      <formula>AND(OR($B122="COMPOSICAO",$B122="INSUMO",$B122&lt;&gt;""),$B122&lt;&gt;"")</formula>
    </cfRule>
  </conditionalFormatting>
  <conditionalFormatting sqref="I122">
    <cfRule type="expression" dxfId="161" priority="161" stopIfTrue="1">
      <formula>AND($B122&lt;&gt;"COMPOSICAO",$B122&lt;&gt;"INSUMO",$B122&lt;&gt;"")</formula>
    </cfRule>
    <cfRule type="expression" dxfId="160" priority="162" stopIfTrue="1">
      <formula>AND(OR($B122="COMPOSICAO",$B122="INSUMO",$B122&lt;&gt;""),$B122&lt;&gt;"")</formula>
    </cfRule>
  </conditionalFormatting>
  <conditionalFormatting sqref="J122">
    <cfRule type="expression" dxfId="159" priority="159" stopIfTrue="1">
      <formula>AND($B122&lt;&gt;"COMPOSICAO",$B122&lt;&gt;"INSUMO",$B122&lt;&gt;"")</formula>
    </cfRule>
    <cfRule type="expression" dxfId="158" priority="160" stopIfTrue="1">
      <formula>AND(OR($B122="COMPOSICAO",$B122="INSUMO",$B122&lt;&gt;""),$B122&lt;&gt;"")</formula>
    </cfRule>
  </conditionalFormatting>
  <conditionalFormatting sqref="K122">
    <cfRule type="expression" dxfId="157" priority="157" stopIfTrue="1">
      <formula>AND($B122&lt;&gt;"COMPOSICAO",$B122&lt;&gt;"INSUMO",$B122&lt;&gt;"")</formula>
    </cfRule>
    <cfRule type="expression" dxfId="156" priority="158" stopIfTrue="1">
      <formula>AND(OR($B122="COMPOSICAO",$B122="INSUMO",$B122&lt;&gt;""),$B122&lt;&gt;"")</formula>
    </cfRule>
  </conditionalFormatting>
  <conditionalFormatting sqref="E128:G128">
    <cfRule type="expression" dxfId="155" priority="151" stopIfTrue="1">
      <formula>AND($B128&lt;&gt;"COMPOSICAO",$B128&lt;&gt;"INSUMO",$B128&lt;&gt;"")</formula>
    </cfRule>
    <cfRule type="expression" dxfId="154" priority="152" stopIfTrue="1">
      <formula>AND(OR($B128="COMPOSICAO",$B128="INSUMO",$B128&lt;&gt;""),$B128&lt;&gt;"")</formula>
    </cfRule>
  </conditionalFormatting>
  <conditionalFormatting sqref="D128">
    <cfRule type="expression" dxfId="153" priority="153" stopIfTrue="1">
      <formula>AND($B128&lt;&gt;"COMPOSICAO",$B128&lt;&gt;"INSUMO",$B128&lt;&gt;"")</formula>
    </cfRule>
    <cfRule type="expression" dxfId="152" priority="154" stopIfTrue="1">
      <formula>AND(OR($B128="COMPOSICAO",$B128="INSUMO",$B128&lt;&gt;""),$B128&lt;&gt;"")</formula>
    </cfRule>
  </conditionalFormatting>
  <conditionalFormatting sqref="B128">
    <cfRule type="expression" dxfId="151" priority="155" stopIfTrue="1">
      <formula>AND($B128&lt;&gt;"COMPOSICAO",$B128&lt;&gt;"INSUMO",$B128&lt;&gt;"")</formula>
    </cfRule>
    <cfRule type="expression" dxfId="150" priority="156" stopIfTrue="1">
      <formula>AND(OR($B128="COMPOSICAO",$B128="INSUMO",$B128&lt;&gt;""),$B128&lt;&gt;"")</formula>
    </cfRule>
  </conditionalFormatting>
  <conditionalFormatting sqref="C128">
    <cfRule type="expression" dxfId="149" priority="149" stopIfTrue="1">
      <formula>AND($B128&lt;&gt;"COMPOSICAO",$B128&lt;&gt;"INSUMO",$B128&lt;&gt;"")</formula>
    </cfRule>
    <cfRule type="expression" dxfId="148" priority="150" stopIfTrue="1">
      <formula>AND(OR($B128="COMPOSICAO",$B128="INSUMO",$B128&lt;&gt;""),$B128&lt;&gt;"")</formula>
    </cfRule>
  </conditionalFormatting>
  <conditionalFormatting sqref="I133">
    <cfRule type="expression" dxfId="147" priority="144" stopIfTrue="1">
      <formula>AND($B133&lt;&gt;"COMPOSICAO",$B133&lt;&gt;"INSUMO",$B133&lt;&gt;"")</formula>
    </cfRule>
    <cfRule type="expression" dxfId="146" priority="145" stopIfTrue="1">
      <formula>AND(OR($B133="COMPOSICAO",$B133="INSUMO",$B133&lt;&gt;""),$B133&lt;&gt;"")</formula>
    </cfRule>
  </conditionalFormatting>
  <conditionalFormatting sqref="H133">
    <cfRule type="expression" dxfId="145" priority="146" stopIfTrue="1">
      <formula>AND($B133&lt;&gt;"COMPOSICAO",$B133&lt;&gt;"INSUMO",$B133&lt;&gt;"")</formula>
    </cfRule>
    <cfRule type="expression" dxfId="144" priority="147" stopIfTrue="1">
      <formula>AND(OR($B133="COMPOSICAO",$B133="INSUMO",$B133&lt;&gt;""),$B133&lt;&gt;"")</formula>
    </cfRule>
  </conditionalFormatting>
  <conditionalFormatting sqref="J133">
    <cfRule type="expression" dxfId="143" priority="142" stopIfTrue="1">
      <formula>AND($B133&lt;&gt;"COMPOSICAO",$B133&lt;&gt;"INSUMO",$B133&lt;&gt;"")</formula>
    </cfRule>
    <cfRule type="expression" dxfId="142" priority="143" stopIfTrue="1">
      <formula>AND(OR($B133="COMPOSICAO",$B133="INSUMO",$B133&lt;&gt;""),$B133&lt;&gt;"")</formula>
    </cfRule>
  </conditionalFormatting>
  <conditionalFormatting sqref="I144">
    <cfRule type="expression" dxfId="141" priority="140" stopIfTrue="1">
      <formula>AND($B144&lt;&gt;"COMPOSICAO",$B144&lt;&gt;"INSUMO",$B144&lt;&gt;"")</formula>
    </cfRule>
    <cfRule type="expression" dxfId="140" priority="141" stopIfTrue="1">
      <formula>AND(OR($B144="COMPOSICAO",$B144="INSUMO",$B144&lt;&gt;""),$B144&lt;&gt;"")</formula>
    </cfRule>
  </conditionalFormatting>
  <conditionalFormatting sqref="J144">
    <cfRule type="expression" dxfId="139" priority="138" stopIfTrue="1">
      <formula>AND($B144&lt;&gt;"COMPOSICAO",$B144&lt;&gt;"INSUMO",$B144&lt;&gt;"")</formula>
    </cfRule>
    <cfRule type="expression" dxfId="138" priority="139" stopIfTrue="1">
      <formula>AND(OR($B144="COMPOSICAO",$B144="INSUMO",$B144&lt;&gt;""),$B144&lt;&gt;"")</formula>
    </cfRule>
  </conditionalFormatting>
  <conditionalFormatting sqref="K143">
    <cfRule type="dataBar" priority="1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{D0D01A41-3A6F-478A-94C5-4D5147C18F84}</x14:id>
        </ext>
      </extLst>
    </cfRule>
  </conditionalFormatting>
  <conditionalFormatting sqref="K133">
    <cfRule type="expression" dxfId="137" priority="136" stopIfTrue="1">
      <formula>AND($B133&lt;&gt;"COMPOSICAO",$B133&lt;&gt;"INSUMO",$B133&lt;&gt;"")</formula>
    </cfRule>
    <cfRule type="expression" dxfId="136" priority="137" stopIfTrue="1">
      <formula>AND(OR($B133="COMPOSICAO",$B133="INSUMO",$B133&lt;&gt;""),$B133&lt;&gt;"")</formula>
    </cfRule>
  </conditionalFormatting>
  <conditionalFormatting sqref="K144">
    <cfRule type="expression" dxfId="135" priority="134" stopIfTrue="1">
      <formula>AND($B144&lt;&gt;"COMPOSICAO",$B144&lt;&gt;"INSUMO",$B144&lt;&gt;"")</formula>
    </cfRule>
    <cfRule type="expression" dxfId="134" priority="135" stopIfTrue="1">
      <formula>AND(OR($B144="COMPOSICAO",$B144="INSUMO",$B144&lt;&gt;""),$B144&lt;&gt;"")</formula>
    </cfRule>
  </conditionalFormatting>
  <conditionalFormatting sqref="B138:C138">
    <cfRule type="expression" dxfId="133" priority="131" stopIfTrue="1">
      <formula>AND($B138&lt;&gt;"COMPOSICAO",$B138&lt;&gt;"INSUMO",$B138&lt;&gt;"")</formula>
    </cfRule>
    <cfRule type="expression" dxfId="132" priority="132" stopIfTrue="1">
      <formula>AND(OR($B138="COMPOSICAO",$B138="INSUMO",$B138&lt;&gt;""),$B138&lt;&gt;"")</formula>
    </cfRule>
  </conditionalFormatting>
  <conditionalFormatting sqref="D138">
    <cfRule type="expression" dxfId="131" priority="129" stopIfTrue="1">
      <formula>AND($B138&lt;&gt;"COMPOSICAO",$B138&lt;&gt;"INSUMO",$B138&lt;&gt;"")</formula>
    </cfRule>
    <cfRule type="expression" dxfId="130" priority="130" stopIfTrue="1">
      <formula>AND(OR($B138="COMPOSICAO",$B138="INSUMO",$B138&lt;&gt;""),$B138&lt;&gt;"")</formula>
    </cfRule>
  </conditionalFormatting>
  <conditionalFormatting sqref="J138">
    <cfRule type="expression" dxfId="129" priority="125" stopIfTrue="1">
      <formula>AND($B138&lt;&gt;"COMPOSICAO",$B138&lt;&gt;"INSUMO",$B138&lt;&gt;"")</formula>
    </cfRule>
    <cfRule type="expression" dxfId="128" priority="126" stopIfTrue="1">
      <formula>AND(OR($B138="COMPOSICAO",$B138="INSUMO",$B138&lt;&gt;""),$B138&lt;&gt;"")</formula>
    </cfRule>
  </conditionalFormatting>
  <conditionalFormatting sqref="E138:H138">
    <cfRule type="expression" dxfId="127" priority="127" stopIfTrue="1">
      <formula>AND($B138&lt;&gt;"COMPOSICAO",$B138&lt;&gt;"INSUMO",$B138&lt;&gt;"")</formula>
    </cfRule>
    <cfRule type="expression" dxfId="126" priority="128" stopIfTrue="1">
      <formula>AND(OR($B138="COMPOSICAO",$B138="INSUMO",$B138&lt;&gt;""),$B138&lt;&gt;"")</formula>
    </cfRule>
  </conditionalFormatting>
  <conditionalFormatting sqref="I138">
    <cfRule type="expression" dxfId="125" priority="123" stopIfTrue="1">
      <formula>AND($B138&lt;&gt;"COMPOSICAO",$B138&lt;&gt;"INSUMO",$B138&lt;&gt;"")</formula>
    </cfRule>
    <cfRule type="expression" dxfId="124" priority="124" stopIfTrue="1">
      <formula>AND(OR($B138="COMPOSICAO",$B138="INSUMO",$B138&lt;&gt;""),$B138&lt;&gt;"")</formula>
    </cfRule>
  </conditionalFormatting>
  <conditionalFormatting sqref="K142">
    <cfRule type="dataBar" priority="1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{7572DE9E-372B-4726-918B-F0237B232F2A}</x14:id>
        </ext>
      </extLst>
    </cfRule>
  </conditionalFormatting>
  <conditionalFormatting sqref="K138">
    <cfRule type="expression" dxfId="123" priority="121" stopIfTrue="1">
      <formula>AND($B138&lt;&gt;"COMPOSICAO",$B138&lt;&gt;"INSUMO",$B138&lt;&gt;"")</formula>
    </cfRule>
    <cfRule type="expression" dxfId="122" priority="122" stopIfTrue="1">
      <formula>AND(OR($B138="COMPOSICAO",$B138="INSUMO",$B138&lt;&gt;""),$B138&lt;&gt;"")</formula>
    </cfRule>
  </conditionalFormatting>
  <conditionalFormatting sqref="G144">
    <cfRule type="expression" dxfId="121" priority="119" stopIfTrue="1">
      <formula>AND($B144&lt;&gt;"COMPOSICAO",$B144&lt;&gt;"INSUMO",$B144&lt;&gt;"")</formula>
    </cfRule>
    <cfRule type="expression" dxfId="120" priority="120" stopIfTrue="1">
      <formula>AND(OR($B144="COMPOSICAO",$B144="INSUMO",$B144&lt;&gt;""),$B144&lt;&gt;"")</formula>
    </cfRule>
  </conditionalFormatting>
  <conditionalFormatting sqref="E133:G133">
    <cfRule type="expression" dxfId="119" priority="113" stopIfTrue="1">
      <formula>AND($B133&lt;&gt;"COMPOSICAO",$B133&lt;&gt;"INSUMO",$B133&lt;&gt;"")</formula>
    </cfRule>
    <cfRule type="expression" dxfId="118" priority="114" stopIfTrue="1">
      <formula>AND(OR($B133="COMPOSICAO",$B133="INSUMO",$B133&lt;&gt;""),$B133&lt;&gt;"")</formula>
    </cfRule>
  </conditionalFormatting>
  <conditionalFormatting sqref="D133">
    <cfRule type="expression" dxfId="117" priority="115" stopIfTrue="1">
      <formula>AND($B133&lt;&gt;"COMPOSICAO",$B133&lt;&gt;"INSUMO",$B133&lt;&gt;"")</formula>
    </cfRule>
    <cfRule type="expression" dxfId="116" priority="116" stopIfTrue="1">
      <formula>AND(OR($B133="COMPOSICAO",$B133="INSUMO",$B133&lt;&gt;""),$B133&lt;&gt;"")</formula>
    </cfRule>
  </conditionalFormatting>
  <conditionalFormatting sqref="B133">
    <cfRule type="expression" dxfId="115" priority="117" stopIfTrue="1">
      <formula>AND($B133&lt;&gt;"COMPOSICAO",$B133&lt;&gt;"INSUMO",$B133&lt;&gt;"")</formula>
    </cfRule>
    <cfRule type="expression" dxfId="114" priority="118" stopIfTrue="1">
      <formula>AND(OR($B133="COMPOSICAO",$B133="INSUMO",$B133&lt;&gt;""),$B133&lt;&gt;"")</formula>
    </cfRule>
  </conditionalFormatting>
  <conditionalFormatting sqref="C133">
    <cfRule type="expression" dxfId="113" priority="111" stopIfTrue="1">
      <formula>AND($B133&lt;&gt;"COMPOSICAO",$B133&lt;&gt;"INSUMO",$B133&lt;&gt;"")</formula>
    </cfRule>
    <cfRule type="expression" dxfId="112" priority="112" stopIfTrue="1">
      <formula>AND(OR($B133="COMPOSICAO",$B133="INSUMO",$B133&lt;&gt;""),$B133&lt;&gt;"")</formula>
    </cfRule>
  </conditionalFormatting>
  <conditionalFormatting sqref="G149">
    <cfRule type="expression" dxfId="111" priority="103" stopIfTrue="1">
      <formula>AND($B149&lt;&gt;"COMPOSICAO",$B149&lt;&gt;"INSUMO",$B149&lt;&gt;"")</formula>
    </cfRule>
    <cfRule type="expression" dxfId="110" priority="104" stopIfTrue="1">
      <formula>AND(OR($B149="COMPOSICAO",$B149="INSUMO",$B149&lt;&gt;""),$B149&lt;&gt;"")</formula>
    </cfRule>
  </conditionalFormatting>
  <conditionalFormatting sqref="C186">
    <cfRule type="expression" dxfId="109" priority="1" stopIfTrue="1">
      <formula>AND($B186&lt;&gt;"COMPOSICAO",$B186&lt;&gt;"INSUMO",$B186&lt;&gt;"")</formula>
    </cfRule>
    <cfRule type="expression" dxfId="108" priority="2" stopIfTrue="1">
      <formula>AND(OR($B186="COMPOSICAO",$B186="INSUMO",$B186&lt;&gt;""),$B186&lt;&gt;"")</formula>
    </cfRule>
  </conditionalFormatting>
  <conditionalFormatting sqref="I149">
    <cfRule type="expression" dxfId="107" priority="109" stopIfTrue="1">
      <formula>AND($B149&lt;&gt;"COMPOSICAO",$B149&lt;&gt;"INSUMO",$B149&lt;&gt;"")</formula>
    </cfRule>
    <cfRule type="expression" dxfId="106" priority="110" stopIfTrue="1">
      <formula>AND(OR($B149="COMPOSICAO",$B149="INSUMO",$B149&lt;&gt;""),$B149&lt;&gt;"")</formula>
    </cfRule>
  </conditionalFormatting>
  <conditionalFormatting sqref="J149">
    <cfRule type="expression" dxfId="105" priority="107" stopIfTrue="1">
      <formula>AND($B149&lt;&gt;"COMPOSICAO",$B149&lt;&gt;"INSUMO",$B149&lt;&gt;"")</formula>
    </cfRule>
    <cfRule type="expression" dxfId="104" priority="108" stopIfTrue="1">
      <formula>AND(OR($B149="COMPOSICAO",$B149="INSUMO",$B149&lt;&gt;""),$B149&lt;&gt;"")</formula>
    </cfRule>
  </conditionalFormatting>
  <conditionalFormatting sqref="K149">
    <cfRule type="expression" dxfId="103" priority="105" stopIfTrue="1">
      <formula>AND($B149&lt;&gt;"COMPOSICAO",$B149&lt;&gt;"INSUMO",$B149&lt;&gt;"")</formula>
    </cfRule>
    <cfRule type="expression" dxfId="102" priority="106" stopIfTrue="1">
      <formula>AND(OR($B149="COMPOSICAO",$B149="INSUMO",$B149&lt;&gt;""),$B149&lt;&gt;"")</formula>
    </cfRule>
  </conditionalFormatting>
  <conditionalFormatting sqref="B155">
    <cfRule type="expression" dxfId="101" priority="101" stopIfTrue="1">
      <formula>AND($B155&lt;&gt;"COMPOSICAO",$B155&lt;&gt;"INSUMO",$B155&lt;&gt;"")</formula>
    </cfRule>
    <cfRule type="expression" dxfId="100" priority="102" stopIfTrue="1">
      <formula>AND(OR($B155="COMPOSICAO",$B155="INSUMO",$B155&lt;&gt;""),$B155&lt;&gt;"")</formula>
    </cfRule>
  </conditionalFormatting>
  <conditionalFormatting sqref="D155">
    <cfRule type="expression" dxfId="99" priority="99" stopIfTrue="1">
      <formula>AND($B155&lt;&gt;"COMPOSICAO",$B155&lt;&gt;"INSUMO",$B155&lt;&gt;"")</formula>
    </cfRule>
    <cfRule type="expression" dxfId="98" priority="100" stopIfTrue="1">
      <formula>AND(OR($B155="COMPOSICAO",$B155="INSUMO",$B155&lt;&gt;""),$B155&lt;&gt;"")</formula>
    </cfRule>
  </conditionalFormatting>
  <conditionalFormatting sqref="I155">
    <cfRule type="expression" dxfId="97" priority="95" stopIfTrue="1">
      <formula>AND($B155&lt;&gt;"COMPOSICAO",$B155&lt;&gt;"INSUMO",$B155&lt;&gt;"")</formula>
    </cfRule>
    <cfRule type="expression" dxfId="96" priority="96" stopIfTrue="1">
      <formula>AND(OR($B155="COMPOSICAO",$B155="INSUMO",$B155&lt;&gt;""),$B155&lt;&gt;"")</formula>
    </cfRule>
  </conditionalFormatting>
  <conditionalFormatting sqref="E155:H155">
    <cfRule type="expression" dxfId="95" priority="97" stopIfTrue="1">
      <formula>AND($B155&lt;&gt;"COMPOSICAO",$B155&lt;&gt;"INSUMO",$B155&lt;&gt;"")</formula>
    </cfRule>
    <cfRule type="expression" dxfId="94" priority="98" stopIfTrue="1">
      <formula>AND(OR($B155="COMPOSICAO",$B155="INSUMO",$B155&lt;&gt;""),$B155&lt;&gt;"")</formula>
    </cfRule>
  </conditionalFormatting>
  <conditionalFormatting sqref="J155">
    <cfRule type="expression" dxfId="93" priority="93" stopIfTrue="1">
      <formula>AND($B155&lt;&gt;"COMPOSICAO",$B155&lt;&gt;"INSUMO",$B155&lt;&gt;"")</formula>
    </cfRule>
    <cfRule type="expression" dxfId="92" priority="94" stopIfTrue="1">
      <formula>AND(OR($B155="COMPOSICAO",$B155="INSUMO",$B155&lt;&gt;""),$B155&lt;&gt;"")</formula>
    </cfRule>
  </conditionalFormatting>
  <conditionalFormatting sqref="C155">
    <cfRule type="expression" dxfId="91" priority="91" stopIfTrue="1">
      <formula>AND($B155&lt;&gt;"COMPOSICAO",$B155&lt;&gt;"INSUMO",$B155&lt;&gt;"")</formula>
    </cfRule>
    <cfRule type="expression" dxfId="90" priority="92" stopIfTrue="1">
      <formula>AND(OR($B155="COMPOSICAO",$B155="INSUMO",$B155&lt;&gt;""),$B155&lt;&gt;"")</formula>
    </cfRule>
  </conditionalFormatting>
  <conditionalFormatting sqref="K155">
    <cfRule type="expression" dxfId="89" priority="89" stopIfTrue="1">
      <formula>AND($B155&lt;&gt;"COMPOSICAO",$B155&lt;&gt;"INSUMO",$B155&lt;&gt;"")</formula>
    </cfRule>
    <cfRule type="expression" dxfId="88" priority="90" stopIfTrue="1">
      <formula>AND(OR($B155="COMPOSICAO",$B155="INSUMO",$B155&lt;&gt;""),$B155&lt;&gt;"")</formula>
    </cfRule>
  </conditionalFormatting>
  <conditionalFormatting sqref="G162:H162">
    <cfRule type="expression" dxfId="87" priority="87" stopIfTrue="1">
      <formula>AND($B162&lt;&gt;"COMPOSICAO",$B162&lt;&gt;"INSUMO",$B162&lt;&gt;"")</formula>
    </cfRule>
    <cfRule type="expression" dxfId="86" priority="88" stopIfTrue="1">
      <formula>AND(OR($B162="COMPOSICAO",$B162="INSUMO",$B162&lt;&gt;""),$B162&lt;&gt;"")</formula>
    </cfRule>
  </conditionalFormatting>
  <conditionalFormatting sqref="I162">
    <cfRule type="expression" dxfId="85" priority="85" stopIfTrue="1">
      <formula>AND($B162&lt;&gt;"COMPOSICAO",$B162&lt;&gt;"INSUMO",$B162&lt;&gt;"")</formula>
    </cfRule>
    <cfRule type="expression" dxfId="84" priority="86" stopIfTrue="1">
      <formula>AND(OR($B162="COMPOSICAO",$B162="INSUMO",$B162&lt;&gt;""),$B162&lt;&gt;"")</formula>
    </cfRule>
  </conditionalFormatting>
  <conditionalFormatting sqref="J162">
    <cfRule type="expression" dxfId="83" priority="83" stopIfTrue="1">
      <formula>AND($B162&lt;&gt;"COMPOSICAO",$B162&lt;&gt;"INSUMO",$B162&lt;&gt;"")</formula>
    </cfRule>
    <cfRule type="expression" dxfId="82" priority="84" stopIfTrue="1">
      <formula>AND(OR($B162="COMPOSICAO",$B162="INSUMO",$B162&lt;&gt;""),$B162&lt;&gt;"")</formula>
    </cfRule>
  </conditionalFormatting>
  <conditionalFormatting sqref="K165">
    <cfRule type="dataBar" priority="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{9700EA0F-C0E0-4BBA-A39B-353369F68491}</x14:id>
        </ext>
      </extLst>
    </cfRule>
  </conditionalFormatting>
  <conditionalFormatting sqref="K166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{A607527E-8DBA-450D-BB3B-4AF47D9D8C6F}</x14:id>
        </ext>
      </extLst>
    </cfRule>
  </conditionalFormatting>
  <conditionalFormatting sqref="K162">
    <cfRule type="expression" dxfId="81" priority="79" stopIfTrue="1">
      <formula>AND($B162&lt;&gt;"COMPOSICAO",$B162&lt;&gt;"INSUMO",$B162&lt;&gt;"")</formula>
    </cfRule>
    <cfRule type="expression" dxfId="80" priority="80" stopIfTrue="1">
      <formula>AND(OR($B162="COMPOSICAO",$B162="INSUMO",$B162&lt;&gt;""),$B162&lt;&gt;"")</formula>
    </cfRule>
  </conditionalFormatting>
  <conditionalFormatting sqref="B162:C162">
    <cfRule type="expression" dxfId="79" priority="77" stopIfTrue="1">
      <formula>AND($B162&lt;&gt;"COMPOSICAO",$B162&lt;&gt;"INSUMO",$B162&lt;&gt;"")</formula>
    </cfRule>
    <cfRule type="expression" dxfId="78" priority="78" stopIfTrue="1">
      <formula>AND(OR($B162="COMPOSICAO",$B162="INSUMO",$B162&lt;&gt;""),$B162&lt;&gt;"")</formula>
    </cfRule>
  </conditionalFormatting>
  <conditionalFormatting sqref="D162">
    <cfRule type="expression" dxfId="77" priority="75" stopIfTrue="1">
      <formula>AND($B162&lt;&gt;"COMPOSICAO",$B162&lt;&gt;"INSUMO",$B162&lt;&gt;"")</formula>
    </cfRule>
    <cfRule type="expression" dxfId="76" priority="76" stopIfTrue="1">
      <formula>AND(OR($B162="COMPOSICAO",$B162="INSUMO",$B162&lt;&gt;""),$B162&lt;&gt;"")</formula>
    </cfRule>
  </conditionalFormatting>
  <conditionalFormatting sqref="E162:F162">
    <cfRule type="expression" dxfId="75" priority="73" stopIfTrue="1">
      <formula>AND($B162&lt;&gt;"COMPOSICAO",$B162&lt;&gt;"INSUMO",$B162&lt;&gt;"")</formula>
    </cfRule>
    <cfRule type="expression" dxfId="74" priority="74" stopIfTrue="1">
      <formula>AND(OR($B162="COMPOSICAO",$B162="INSUMO",$B162&lt;&gt;""),$B162&lt;&gt;"")</formula>
    </cfRule>
  </conditionalFormatting>
  <conditionalFormatting sqref="B168:C168">
    <cfRule type="expression" dxfId="73" priority="70" stopIfTrue="1">
      <formula>AND($B168&lt;&gt;"COMPOSICAO",$B168&lt;&gt;"INSUMO",$B168&lt;&gt;"")</formula>
    </cfRule>
    <cfRule type="expression" dxfId="72" priority="71" stopIfTrue="1">
      <formula>AND(OR($B168="COMPOSICAO",$B168="INSUMO",$B168&lt;&gt;""),$B168&lt;&gt;"")</formula>
    </cfRule>
  </conditionalFormatting>
  <conditionalFormatting sqref="B174:C174">
    <cfRule type="expression" dxfId="71" priority="68" stopIfTrue="1">
      <formula>AND($B174&lt;&gt;"COMPOSICAO",$B174&lt;&gt;"INSUMO",$B174&lt;&gt;"")</formula>
    </cfRule>
    <cfRule type="expression" dxfId="70" priority="69" stopIfTrue="1">
      <formula>AND(OR($B174="COMPOSICAO",$B174="INSUMO",$B174&lt;&gt;""),$B174&lt;&gt;"")</formula>
    </cfRule>
  </conditionalFormatting>
  <conditionalFormatting sqref="B180:C180">
    <cfRule type="expression" dxfId="69" priority="66" stopIfTrue="1">
      <formula>AND($B180&lt;&gt;"COMPOSICAO",$B180&lt;&gt;"INSUMO",$B180&lt;&gt;"")</formula>
    </cfRule>
    <cfRule type="expression" dxfId="68" priority="67" stopIfTrue="1">
      <formula>AND(OR($B180="COMPOSICAO",$B180="INSUMO",$B180&lt;&gt;""),$B180&lt;&gt;"")</formula>
    </cfRule>
  </conditionalFormatting>
  <conditionalFormatting sqref="D168">
    <cfRule type="expression" dxfId="67" priority="64" stopIfTrue="1">
      <formula>AND($B168&lt;&gt;"COMPOSICAO",$B168&lt;&gt;"INSUMO",$B168&lt;&gt;"")</formula>
    </cfRule>
    <cfRule type="expression" dxfId="66" priority="65" stopIfTrue="1">
      <formula>AND(OR($B168="COMPOSICAO",$B168="INSUMO",$B168&lt;&gt;""),$B168&lt;&gt;"")</formula>
    </cfRule>
  </conditionalFormatting>
  <conditionalFormatting sqref="D174">
    <cfRule type="expression" dxfId="65" priority="62" stopIfTrue="1">
      <formula>AND($B174&lt;&gt;"COMPOSICAO",$B174&lt;&gt;"INSUMO",$B174&lt;&gt;"")</formula>
    </cfRule>
    <cfRule type="expression" dxfId="64" priority="63" stopIfTrue="1">
      <formula>AND(OR($B174="COMPOSICAO",$B174="INSUMO",$B174&lt;&gt;""),$B174&lt;&gt;"")</formula>
    </cfRule>
  </conditionalFormatting>
  <conditionalFormatting sqref="D180">
    <cfRule type="expression" dxfId="63" priority="60" stopIfTrue="1">
      <formula>AND($B180&lt;&gt;"COMPOSICAO",$B180&lt;&gt;"INSUMO",$B180&lt;&gt;"")</formula>
    </cfRule>
    <cfRule type="expression" dxfId="62" priority="61" stopIfTrue="1">
      <formula>AND(OR($B180="COMPOSICAO",$B180="INSUMO",$B180&lt;&gt;""),$B180&lt;&gt;"")</formula>
    </cfRule>
  </conditionalFormatting>
  <conditionalFormatting sqref="E168:H168">
    <cfRule type="expression" dxfId="61" priority="58" stopIfTrue="1">
      <formula>AND($B168&lt;&gt;"COMPOSICAO",$B168&lt;&gt;"INSUMO",$B168&lt;&gt;"")</formula>
    </cfRule>
    <cfRule type="expression" dxfId="60" priority="59" stopIfTrue="1">
      <formula>AND(OR($B168="COMPOSICAO",$B168="INSUMO",$B168&lt;&gt;""),$B168&lt;&gt;"")</formula>
    </cfRule>
  </conditionalFormatting>
  <conditionalFormatting sqref="E180:H180">
    <cfRule type="expression" dxfId="59" priority="54" stopIfTrue="1">
      <formula>AND($B180&lt;&gt;"COMPOSICAO",$B180&lt;&gt;"INSUMO",$B180&lt;&gt;"")</formula>
    </cfRule>
    <cfRule type="expression" dxfId="58" priority="55" stopIfTrue="1">
      <formula>AND(OR($B180="COMPOSICAO",$B180="INSUMO",$B180&lt;&gt;""),$B180&lt;&gt;"")</formula>
    </cfRule>
  </conditionalFormatting>
  <conditionalFormatting sqref="E174:H174">
    <cfRule type="expression" dxfId="57" priority="56" stopIfTrue="1">
      <formula>AND($B174&lt;&gt;"COMPOSICAO",$B174&lt;&gt;"INSUMO",$B174&lt;&gt;"")</formula>
    </cfRule>
    <cfRule type="expression" dxfId="56" priority="57" stopIfTrue="1">
      <formula>AND(OR($B174="COMPOSICAO",$B174="INSUMO",$B174&lt;&gt;""),$B174&lt;&gt;"")</formula>
    </cfRule>
  </conditionalFormatting>
  <conditionalFormatting sqref="K171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{84374E4D-6951-4D70-9051-647053736871}</x14:id>
        </ext>
      </extLst>
    </cfRule>
  </conditionalFormatting>
  <conditionalFormatting sqref="K172">
    <cfRule type="dataBar" priority="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{0B61C142-57B6-4255-A968-FB3D26DED3B0}</x14:id>
        </ext>
      </extLst>
    </cfRule>
  </conditionalFormatting>
  <conditionalFormatting sqref="K177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{271B8C4C-B1B8-4948-91F4-402CDC45E202}</x14:id>
        </ext>
      </extLst>
    </cfRule>
  </conditionalFormatting>
  <conditionalFormatting sqref="K178">
    <cfRule type="dataBar" priority="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{20A6F5EC-D048-4CA0-A619-E88927D317BA}</x14:id>
        </ext>
      </extLst>
    </cfRule>
  </conditionalFormatting>
  <conditionalFormatting sqref="K183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{45AB26D2-197D-4A36-9908-B0046EC18393}</x14:id>
        </ext>
      </extLst>
    </cfRule>
  </conditionalFormatting>
  <conditionalFormatting sqref="K184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{90D81DCF-487E-4DFC-A106-2F31C4A33809}</x14:id>
        </ext>
      </extLst>
    </cfRule>
  </conditionalFormatting>
  <conditionalFormatting sqref="I168">
    <cfRule type="expression" dxfId="55" priority="46" stopIfTrue="1">
      <formula>AND($B168&lt;&gt;"COMPOSICAO",$B168&lt;&gt;"INSUMO",$B168&lt;&gt;"")</formula>
    </cfRule>
    <cfRule type="expression" dxfId="54" priority="47" stopIfTrue="1">
      <formula>AND(OR($B168="COMPOSICAO",$B168="INSUMO",$B168&lt;&gt;""),$B168&lt;&gt;"")</formula>
    </cfRule>
  </conditionalFormatting>
  <conditionalFormatting sqref="J168">
    <cfRule type="expression" dxfId="53" priority="44" stopIfTrue="1">
      <formula>AND($B168&lt;&gt;"COMPOSICAO",$B168&lt;&gt;"INSUMO",$B168&lt;&gt;"")</formula>
    </cfRule>
    <cfRule type="expression" dxfId="52" priority="45" stopIfTrue="1">
      <formula>AND(OR($B168="COMPOSICAO",$B168="INSUMO",$B168&lt;&gt;""),$B168&lt;&gt;"")</formula>
    </cfRule>
  </conditionalFormatting>
  <conditionalFormatting sqref="I174">
    <cfRule type="expression" dxfId="51" priority="42" stopIfTrue="1">
      <formula>AND($B174&lt;&gt;"COMPOSICAO",$B174&lt;&gt;"INSUMO",$B174&lt;&gt;"")</formula>
    </cfRule>
    <cfRule type="expression" dxfId="50" priority="43" stopIfTrue="1">
      <formula>AND(OR($B174="COMPOSICAO",$B174="INSUMO",$B174&lt;&gt;""),$B174&lt;&gt;"")</formula>
    </cfRule>
  </conditionalFormatting>
  <conditionalFormatting sqref="J174">
    <cfRule type="expression" dxfId="49" priority="40" stopIfTrue="1">
      <formula>AND($B174&lt;&gt;"COMPOSICAO",$B174&lt;&gt;"INSUMO",$B174&lt;&gt;"")</formula>
    </cfRule>
    <cfRule type="expression" dxfId="48" priority="41" stopIfTrue="1">
      <formula>AND(OR($B174="COMPOSICAO",$B174="INSUMO",$B174&lt;&gt;""),$B174&lt;&gt;"")</formula>
    </cfRule>
  </conditionalFormatting>
  <conditionalFormatting sqref="I180">
    <cfRule type="expression" dxfId="47" priority="38" stopIfTrue="1">
      <formula>AND($B180&lt;&gt;"COMPOSICAO",$B180&lt;&gt;"INSUMO",$B180&lt;&gt;"")</formula>
    </cfRule>
    <cfRule type="expression" dxfId="46" priority="39" stopIfTrue="1">
      <formula>AND(OR($B180="COMPOSICAO",$B180="INSUMO",$B180&lt;&gt;""),$B180&lt;&gt;"")</formula>
    </cfRule>
  </conditionalFormatting>
  <conditionalFormatting sqref="J180">
    <cfRule type="expression" dxfId="45" priority="36" stopIfTrue="1">
      <formula>AND($B180&lt;&gt;"COMPOSICAO",$B180&lt;&gt;"INSUMO",$B180&lt;&gt;"")</formula>
    </cfRule>
    <cfRule type="expression" dxfId="44" priority="37" stopIfTrue="1">
      <formula>AND(OR($B180="COMPOSICAO",$B180="INSUMO",$B180&lt;&gt;""),$B180&lt;&gt;"")</formula>
    </cfRule>
  </conditionalFormatting>
  <conditionalFormatting sqref="K168">
    <cfRule type="expression" dxfId="43" priority="34" stopIfTrue="1">
      <formula>AND($B168&lt;&gt;"COMPOSICAO",$B168&lt;&gt;"INSUMO",$B168&lt;&gt;"")</formula>
    </cfRule>
    <cfRule type="expression" dxfId="42" priority="35" stopIfTrue="1">
      <formula>AND(OR($B168="COMPOSICAO",$B168="INSUMO",$B168&lt;&gt;""),$B168&lt;&gt;"")</formula>
    </cfRule>
  </conditionalFormatting>
  <conditionalFormatting sqref="K174">
    <cfRule type="expression" dxfId="41" priority="32" stopIfTrue="1">
      <formula>AND($B174&lt;&gt;"COMPOSICAO",$B174&lt;&gt;"INSUMO",$B174&lt;&gt;"")</formula>
    </cfRule>
    <cfRule type="expression" dxfId="40" priority="33" stopIfTrue="1">
      <formula>AND(OR($B174="COMPOSICAO",$B174="INSUMO",$B174&lt;&gt;""),$B174&lt;&gt;"")</formula>
    </cfRule>
  </conditionalFormatting>
  <conditionalFormatting sqref="K180">
    <cfRule type="expression" dxfId="39" priority="30" stopIfTrue="1">
      <formula>AND($B180&lt;&gt;"COMPOSICAO",$B180&lt;&gt;"INSUMO",$B180&lt;&gt;"")</formula>
    </cfRule>
    <cfRule type="expression" dxfId="38" priority="31" stopIfTrue="1">
      <formula>AND(OR($B180="COMPOSICAO",$B180="INSUMO",$B180&lt;&gt;""),$B180&lt;&gt;"")</formula>
    </cfRule>
  </conditionalFormatting>
  <conditionalFormatting sqref="B186">
    <cfRule type="expression" dxfId="37" priority="28" stopIfTrue="1">
      <formula>AND($B186&lt;&gt;"COMPOSICAO",$B186&lt;&gt;"INSUMO",$B186&lt;&gt;"")</formula>
    </cfRule>
    <cfRule type="expression" dxfId="36" priority="29" stopIfTrue="1">
      <formula>AND(OR($B186="COMPOSICAO",$B186="INSUMO",$B186&lt;&gt;""),$B186&lt;&gt;"")</formula>
    </cfRule>
  </conditionalFormatting>
  <conditionalFormatting sqref="D186">
    <cfRule type="expression" dxfId="35" priority="26" stopIfTrue="1">
      <formula>AND($B186&lt;&gt;"COMPOSICAO",$B186&lt;&gt;"INSUMO",$B186&lt;&gt;"")</formula>
    </cfRule>
    <cfRule type="expression" dxfId="34" priority="27" stopIfTrue="1">
      <formula>AND(OR($B186="COMPOSICAO",$B186="INSUMO",$B186&lt;&gt;""),$B186&lt;&gt;"")</formula>
    </cfRule>
  </conditionalFormatting>
  <conditionalFormatting sqref="E186:H186">
    <cfRule type="expression" dxfId="33" priority="24" stopIfTrue="1">
      <formula>AND($B186&lt;&gt;"COMPOSICAO",$B186&lt;&gt;"INSUMO",$B186&lt;&gt;"")</formula>
    </cfRule>
    <cfRule type="expression" dxfId="32" priority="25" stopIfTrue="1">
      <formula>AND(OR($B186="COMPOSICAO",$B186="INSUMO",$B186&lt;&gt;""),$B186&lt;&gt;"")</formula>
    </cfRule>
  </conditionalFormatting>
  <conditionalFormatting sqref="K189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{9EB617B8-E09F-4F5C-834B-5D0B89BD5FD8}</x14:id>
        </ext>
      </extLst>
    </cfRule>
  </conditionalFormatting>
  <conditionalFormatting sqref="K190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{6FA84A73-D007-41C2-A22A-9E44824EE54D}</x14:id>
        </ext>
      </extLst>
    </cfRule>
  </conditionalFormatting>
  <conditionalFormatting sqref="I186">
    <cfRule type="expression" dxfId="31" priority="20" stopIfTrue="1">
      <formula>AND($B186&lt;&gt;"COMPOSICAO",$B186&lt;&gt;"INSUMO",$B186&lt;&gt;"")</formula>
    </cfRule>
    <cfRule type="expression" dxfId="30" priority="21" stopIfTrue="1">
      <formula>AND(OR($B186="COMPOSICAO",$B186="INSUMO",$B186&lt;&gt;""),$B186&lt;&gt;"")</formula>
    </cfRule>
  </conditionalFormatting>
  <conditionalFormatting sqref="J186">
    <cfRule type="expression" dxfId="29" priority="18" stopIfTrue="1">
      <formula>AND($B186&lt;&gt;"COMPOSICAO",$B186&lt;&gt;"INSUMO",$B186&lt;&gt;"")</formula>
    </cfRule>
    <cfRule type="expression" dxfId="28" priority="19" stopIfTrue="1">
      <formula>AND(OR($B186="COMPOSICAO",$B186="INSUMO",$B186&lt;&gt;""),$B186&lt;&gt;"")</formula>
    </cfRule>
  </conditionalFormatting>
  <conditionalFormatting sqref="K186">
    <cfRule type="expression" dxfId="27" priority="16" stopIfTrue="1">
      <formula>AND($B186&lt;&gt;"COMPOSICAO",$B186&lt;&gt;"INSUMO",$B186&lt;&gt;"")</formula>
    </cfRule>
    <cfRule type="expression" dxfId="26" priority="17" stopIfTrue="1">
      <formula>AND(OR($B186="COMPOSICAO",$B186="INSUMO",$B186&lt;&gt;""),$B186&lt;&gt;"")</formula>
    </cfRule>
  </conditionalFormatting>
  <conditionalFormatting sqref="B192:C192">
    <cfRule type="expression" dxfId="25" priority="14" stopIfTrue="1">
      <formula>AND($B192&lt;&gt;"COMPOSICAO",$B192&lt;&gt;"INSUMO",$B192&lt;&gt;"")</formula>
    </cfRule>
    <cfRule type="expression" dxfId="24" priority="15" stopIfTrue="1">
      <formula>AND(OR($B192="COMPOSICAO",$B192="INSUMO",$B192&lt;&gt;""),$B192&lt;&gt;"")</formula>
    </cfRule>
  </conditionalFormatting>
  <conditionalFormatting sqref="D192">
    <cfRule type="expression" dxfId="23" priority="12" stopIfTrue="1">
      <formula>AND($B192&lt;&gt;"COMPOSICAO",$B192&lt;&gt;"INSUMO",$B192&lt;&gt;"")</formula>
    </cfRule>
    <cfRule type="expression" dxfId="22" priority="13" stopIfTrue="1">
      <formula>AND(OR($B192="COMPOSICAO",$B192="INSUMO",$B192&lt;&gt;""),$B192&lt;&gt;"")</formula>
    </cfRule>
  </conditionalFormatting>
  <conditionalFormatting sqref="E192:H192">
    <cfRule type="expression" dxfId="21" priority="10" stopIfTrue="1">
      <formula>AND($B192&lt;&gt;"COMPOSICAO",$B192&lt;&gt;"INSUMO",$B192&lt;&gt;"")</formula>
    </cfRule>
    <cfRule type="expression" dxfId="20" priority="11" stopIfTrue="1">
      <formula>AND(OR($B192="COMPOSICAO",$B192="INSUMO",$B192&lt;&gt;""),$B192&lt;&gt;"")</formula>
    </cfRule>
  </conditionalFormatting>
  <conditionalFormatting sqref="K195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{F3951B8B-480D-4226-96BB-5E59AEE8633F}</x14:id>
        </ext>
      </extLst>
    </cfRule>
  </conditionalFormatting>
  <conditionalFormatting sqref="I192">
    <cfRule type="expression" dxfId="19" priority="7" stopIfTrue="1">
      <formula>AND($B192&lt;&gt;"COMPOSICAO",$B192&lt;&gt;"INSUMO",$B192&lt;&gt;"")</formula>
    </cfRule>
    <cfRule type="expression" dxfId="18" priority="8" stopIfTrue="1">
      <formula>AND(OR($B192="COMPOSICAO",$B192="INSUMO",$B192&lt;&gt;""),$B192&lt;&gt;"")</formula>
    </cfRule>
  </conditionalFormatting>
  <conditionalFormatting sqref="J192">
    <cfRule type="expression" dxfId="17" priority="5" stopIfTrue="1">
      <formula>AND($B192&lt;&gt;"COMPOSICAO",$B192&lt;&gt;"INSUMO",$B192&lt;&gt;"")</formula>
    </cfRule>
    <cfRule type="expression" dxfId="16" priority="6" stopIfTrue="1">
      <formula>AND(OR($B192="COMPOSICAO",$B192="INSUMO",$B192&lt;&gt;""),$B192&lt;&gt;"")</formula>
    </cfRule>
  </conditionalFormatting>
  <conditionalFormatting sqref="K192">
    <cfRule type="expression" dxfId="15" priority="3" stopIfTrue="1">
      <formula>AND($B192&lt;&gt;"COMPOSICAO",$B192&lt;&gt;"INSUMO",$B192&lt;&gt;"")</formula>
    </cfRule>
    <cfRule type="expression" dxfId="14" priority="4" stopIfTrue="1">
      <formula>AND(OR($B192="COMPOSICAO",$B192="INSUMO",$B192&lt;&gt;""),$B192&lt;&gt;"")</formula>
    </cfRule>
  </conditionalFormatting>
  <conditionalFormatting sqref="K196:K197">
    <cfRule type="dataBar" priority="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{656A59B1-85F0-4AE0-8ADF-B84264E63159}</x14:id>
        </ext>
      </extLst>
    </cfRule>
  </conditionalFormatting>
  <printOptions horizontalCentered="1" gridLines="1"/>
  <pageMargins left="0.78740157480314965" right="1.7716535433070868" top="0.98425196850393704" bottom="0.78740157480314965" header="0.31496062992125984" footer="0.31496062992125984"/>
  <pageSetup paperSize="9" scale="70" orientation="landscape" r:id="rId1"/>
  <headerFooter>
    <oddFooter>&amp;RPágina &amp;P de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D2E90E-5F7F-4378-BD53-5604803273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K154</xm:sqref>
        </x14:conditionalFormatting>
        <x14:conditionalFormatting xmlns:xm="http://schemas.microsoft.com/office/excel/2006/main">
          <x14:cfRule type="dataBar" id="{2D7EBF07-8DFD-4A6B-BEE8-E9E1859B1F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K201</xm:sqref>
        </x14:conditionalFormatting>
        <x14:conditionalFormatting xmlns:xm="http://schemas.microsoft.com/office/excel/2006/main">
          <x14:cfRule type="dataBar" id="{1136FEE5-7B86-4EAB-BFE3-EFDED8B268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K202</xm:sqref>
        </x14:conditionalFormatting>
        <x14:conditionalFormatting xmlns:xm="http://schemas.microsoft.com/office/excel/2006/main">
          <x14:cfRule type="dataBar" id="{179796E7-2082-47FC-8B49-21727F5213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K38</xm:sqref>
        </x14:conditionalFormatting>
        <x14:conditionalFormatting xmlns:xm="http://schemas.microsoft.com/office/excel/2006/main">
          <x14:cfRule type="dataBar" id="{948BEA3F-84C1-4B73-82DE-B888E01262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K39</xm:sqref>
        </x14:conditionalFormatting>
        <x14:conditionalFormatting xmlns:xm="http://schemas.microsoft.com/office/excel/2006/main">
          <x14:cfRule type="dataBar" id="{1A988A7F-A97D-4739-9C80-DAD8ABE68B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K205:K209</xm:sqref>
        </x14:conditionalFormatting>
        <x14:conditionalFormatting xmlns:xm="http://schemas.microsoft.com/office/excel/2006/main">
          <x14:cfRule type="dataBar" id="{D0D01A41-3A6F-478A-94C5-4D5147C18F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K143</xm:sqref>
        </x14:conditionalFormatting>
        <x14:conditionalFormatting xmlns:xm="http://schemas.microsoft.com/office/excel/2006/main">
          <x14:cfRule type="dataBar" id="{7572DE9E-372B-4726-918B-F0237B232F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K142</xm:sqref>
        </x14:conditionalFormatting>
        <x14:conditionalFormatting xmlns:xm="http://schemas.microsoft.com/office/excel/2006/main">
          <x14:cfRule type="dataBar" id="{9700EA0F-C0E0-4BBA-A39B-353369F684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K165</xm:sqref>
        </x14:conditionalFormatting>
        <x14:conditionalFormatting xmlns:xm="http://schemas.microsoft.com/office/excel/2006/main">
          <x14:cfRule type="dataBar" id="{A607527E-8DBA-450D-BB3B-4AF47D9D8C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K166</xm:sqref>
        </x14:conditionalFormatting>
        <x14:conditionalFormatting xmlns:xm="http://schemas.microsoft.com/office/excel/2006/main">
          <x14:cfRule type="dataBar" id="{84374E4D-6951-4D70-9051-6470537368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K171</xm:sqref>
        </x14:conditionalFormatting>
        <x14:conditionalFormatting xmlns:xm="http://schemas.microsoft.com/office/excel/2006/main">
          <x14:cfRule type="dataBar" id="{0B61C142-57B6-4255-A968-FB3D26DED3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K172</xm:sqref>
        </x14:conditionalFormatting>
        <x14:conditionalFormatting xmlns:xm="http://schemas.microsoft.com/office/excel/2006/main">
          <x14:cfRule type="dataBar" id="{271B8C4C-B1B8-4948-91F4-402CDC45E2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20A6F5EC-D048-4CA0-A619-E88927D317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K178</xm:sqref>
        </x14:conditionalFormatting>
        <x14:conditionalFormatting xmlns:xm="http://schemas.microsoft.com/office/excel/2006/main">
          <x14:cfRule type="dataBar" id="{45AB26D2-197D-4A36-9908-B0046EC183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K183</xm:sqref>
        </x14:conditionalFormatting>
        <x14:conditionalFormatting xmlns:xm="http://schemas.microsoft.com/office/excel/2006/main">
          <x14:cfRule type="dataBar" id="{90D81DCF-487E-4DFC-A106-2F31C4A338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K184</xm:sqref>
        </x14:conditionalFormatting>
        <x14:conditionalFormatting xmlns:xm="http://schemas.microsoft.com/office/excel/2006/main">
          <x14:cfRule type="dataBar" id="{9EB617B8-E09F-4F5C-834B-5D0B89BD5F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K189</xm:sqref>
        </x14:conditionalFormatting>
        <x14:conditionalFormatting xmlns:xm="http://schemas.microsoft.com/office/excel/2006/main">
          <x14:cfRule type="dataBar" id="{6FA84A73-D007-41C2-A22A-9E44824EE5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K190</xm:sqref>
        </x14:conditionalFormatting>
        <x14:conditionalFormatting xmlns:xm="http://schemas.microsoft.com/office/excel/2006/main">
          <x14:cfRule type="dataBar" id="{F3951B8B-480D-4226-96BB-5E59AEE863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K195</xm:sqref>
        </x14:conditionalFormatting>
        <x14:conditionalFormatting xmlns:xm="http://schemas.microsoft.com/office/excel/2006/main">
          <x14:cfRule type="dataBar" id="{656A59B1-85F0-4AE0-8ADF-B84264E631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K196:K197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312"/>
  <sheetViews>
    <sheetView topLeftCell="A25" workbookViewId="0">
      <selection activeCell="J7" sqref="J7"/>
    </sheetView>
  </sheetViews>
  <sheetFormatPr defaultColWidth="9.140625" defaultRowHeight="12.75"/>
  <cols>
    <col min="1" max="1" width="2.28515625" style="295" customWidth="1"/>
    <col min="2" max="2" width="35.85546875" style="295" customWidth="1"/>
    <col min="3" max="6" width="14.7109375" style="295" customWidth="1"/>
    <col min="7" max="7" width="2.28515625" style="295" customWidth="1"/>
    <col min="8" max="8" width="15.28515625" style="295" customWidth="1"/>
    <col min="9" max="9" width="18.140625" style="295" bestFit="1" customWidth="1"/>
    <col min="10" max="10" width="5.140625" style="295" customWidth="1"/>
    <col min="11" max="12" width="9.140625" style="295"/>
    <col min="13" max="13" width="18.7109375" style="295" customWidth="1"/>
    <col min="14" max="14" width="0" style="295" hidden="1" customWidth="1"/>
    <col min="15" max="15" width="15.42578125" style="295" hidden="1" customWidth="1"/>
    <col min="16" max="16" width="41.7109375" style="295" hidden="1" customWidth="1"/>
    <col min="17" max="17" width="18.85546875" style="295" hidden="1" customWidth="1"/>
    <col min="18" max="24" width="11.7109375" style="295" hidden="1" customWidth="1"/>
    <col min="25" max="37" width="0" style="295" hidden="1" customWidth="1"/>
    <col min="38" max="38" width="13.85546875" style="295" hidden="1" customWidth="1"/>
    <col min="39" max="39" width="38.7109375" style="295" hidden="1" customWidth="1"/>
    <col min="40" max="40" width="11.85546875" style="295" hidden="1" customWidth="1"/>
    <col min="41" max="41" width="8.7109375" style="295" hidden="1" customWidth="1"/>
    <col min="42" max="42" width="11.85546875" style="295" hidden="1" customWidth="1"/>
    <col min="43" max="43" width="9.28515625" style="295" hidden="1" customWidth="1"/>
    <col min="44" max="44" width="11.85546875" style="295" hidden="1" customWidth="1"/>
    <col min="45" max="45" width="1" style="295" hidden="1" customWidth="1"/>
    <col min="46" max="46" width="9.140625" style="295"/>
    <col min="47" max="47" width="13.28515625" style="295" bestFit="1" customWidth="1"/>
    <col min="48" max="71" width="9.140625" style="295"/>
    <col min="72" max="72" width="22.7109375" style="295" bestFit="1" customWidth="1"/>
    <col min="73" max="73" width="29" style="295" customWidth="1"/>
    <col min="74" max="74" width="9.5703125" style="295" customWidth="1"/>
    <col min="75" max="75" width="11.5703125" style="295" customWidth="1"/>
    <col min="76" max="76" width="10.7109375" style="295" customWidth="1"/>
    <col min="77" max="77" width="9.140625" style="295"/>
    <col min="78" max="81" width="2.42578125" style="295" customWidth="1"/>
    <col min="82" max="82" width="4.85546875" style="295" bestFit="1" customWidth="1"/>
    <col min="83" max="83" width="29.42578125" style="295" bestFit="1" customWidth="1"/>
    <col min="84" max="84" width="17" style="295" bestFit="1" customWidth="1"/>
    <col min="85" max="85" width="14.42578125" style="295" bestFit="1" customWidth="1"/>
    <col min="86" max="86" width="17" style="295" bestFit="1" customWidth="1"/>
    <col min="87" max="87" width="8.85546875" style="295" customWidth="1"/>
    <col min="88" max="97" width="2.42578125" style="295" customWidth="1"/>
    <col min="98" max="16384" width="9.140625" style="295"/>
  </cols>
  <sheetData>
    <row r="1" spans="1:11">
      <c r="A1" s="292" t="str">
        <f>[1]COMPOSIÇÃO!A2</f>
        <v>OBRA: IMPLANTAÇÃO DO SISTEMA DE ILUMINAÇÃO PÚBLICA DO TIPO ORNAMENTAL COM LUMINÁRIAS LED</v>
      </c>
      <c r="B1" s="293"/>
      <c r="C1" s="293"/>
      <c r="D1" s="293"/>
      <c r="E1" s="293"/>
      <c r="F1" s="293"/>
      <c r="G1" s="294"/>
    </row>
    <row r="2" spans="1:11" ht="25.15" customHeight="1">
      <c r="A2" s="296" t="s">
        <v>324</v>
      </c>
      <c r="B2" s="297"/>
      <c r="C2" s="297"/>
      <c r="D2" s="297"/>
      <c r="E2" s="297"/>
      <c r="F2" s="297"/>
      <c r="G2" s="298"/>
    </row>
    <row r="3" spans="1:11" ht="13.15" customHeight="1">
      <c r="A3" s="299" t="s">
        <v>264</v>
      </c>
      <c r="B3" s="300"/>
      <c r="C3" s="300"/>
      <c r="D3" s="300"/>
      <c r="E3" s="300"/>
      <c r="F3" s="300"/>
      <c r="G3" s="301"/>
    </row>
    <row r="4" spans="1:11" ht="13.15" customHeight="1" thickBot="1">
      <c r="A4" s="302"/>
      <c r="B4" s="303"/>
      <c r="C4" s="303"/>
      <c r="D4" s="303"/>
      <c r="E4" s="303"/>
      <c r="F4" s="303"/>
      <c r="G4" s="304"/>
    </row>
    <row r="5" spans="1:11" ht="15" customHeight="1" thickTop="1" thickBot="1">
      <c r="A5" s="305"/>
      <c r="B5" s="306" t="s">
        <v>265</v>
      </c>
      <c r="C5" s="306"/>
      <c r="D5" s="306"/>
      <c r="E5" s="306"/>
      <c r="F5" s="306"/>
      <c r="G5" s="307"/>
    </row>
    <row r="6" spans="1:11" s="311" customFormat="1" ht="16.5" thickTop="1">
      <c r="A6" s="308"/>
      <c r="B6" s="309"/>
      <c r="C6" s="309"/>
      <c r="D6" s="309"/>
      <c r="E6" s="309"/>
      <c r="F6" s="309"/>
      <c r="G6" s="310"/>
      <c r="H6" s="295"/>
      <c r="I6" s="295"/>
      <c r="J6" s="295"/>
    </row>
    <row r="7" spans="1:11" ht="26.45" customHeight="1">
      <c r="A7" s="308"/>
      <c r="B7" s="312" t="s">
        <v>266</v>
      </c>
      <c r="C7" s="312"/>
      <c r="D7" s="312"/>
      <c r="E7" s="312"/>
      <c r="F7" s="312"/>
      <c r="G7" s="310"/>
    </row>
    <row r="8" spans="1:11">
      <c r="A8" s="308"/>
      <c r="B8" s="313"/>
      <c r="C8" s="313"/>
      <c r="D8" s="313"/>
      <c r="E8" s="313"/>
      <c r="F8" s="313"/>
      <c r="G8" s="310"/>
    </row>
    <row r="9" spans="1:11" ht="27.6" customHeight="1">
      <c r="A9" s="308"/>
      <c r="B9" s="314" t="s">
        <v>267</v>
      </c>
      <c r="C9" s="315" t="s">
        <v>268</v>
      </c>
      <c r="D9" s="316"/>
      <c r="E9" s="316"/>
      <c r="F9" s="317"/>
      <c r="G9" s="310"/>
    </row>
    <row r="10" spans="1:11">
      <c r="A10" s="308"/>
      <c r="B10" s="313"/>
      <c r="C10" s="318"/>
      <c r="D10" s="318"/>
      <c r="E10" s="318"/>
      <c r="F10" s="318"/>
      <c r="G10" s="310"/>
      <c r="H10" s="311"/>
    </row>
    <row r="11" spans="1:11">
      <c r="A11" s="308"/>
      <c r="B11" s="314" t="s">
        <v>269</v>
      </c>
      <c r="C11" s="318"/>
      <c r="D11" s="318"/>
      <c r="E11" s="318"/>
      <c r="F11" s="319" t="s">
        <v>270</v>
      </c>
      <c r="G11" s="310"/>
      <c r="H11" s="311"/>
      <c r="K11" s="320" t="str">
        <f>IF(F11="","PREENCHER SE A OBRA POSSUI FOLHA DE PAGAMENTO DESONERADA","")</f>
        <v/>
      </c>
    </row>
    <row r="12" spans="1:11">
      <c r="A12" s="308"/>
      <c r="B12" s="321" t="s">
        <v>271</v>
      </c>
      <c r="C12" s="318"/>
      <c r="D12" s="318"/>
      <c r="E12" s="318"/>
      <c r="F12" s="318"/>
      <c r="G12" s="310"/>
      <c r="H12" s="311"/>
    </row>
    <row r="13" spans="1:11">
      <c r="A13" s="308"/>
      <c r="B13" s="313"/>
      <c r="C13" s="313"/>
      <c r="D13" s="313"/>
      <c r="E13" s="322"/>
      <c r="F13" s="313"/>
      <c r="G13" s="310"/>
      <c r="H13" s="311"/>
    </row>
    <row r="14" spans="1:11">
      <c r="A14" s="308"/>
      <c r="B14" s="313" t="s">
        <v>272</v>
      </c>
      <c r="C14" s="313"/>
      <c r="D14" s="313"/>
      <c r="E14" s="322"/>
      <c r="F14" s="313"/>
      <c r="G14" s="310"/>
      <c r="H14" s="311"/>
    </row>
    <row r="15" spans="1:11" ht="82.15" customHeight="1">
      <c r="A15" s="308"/>
      <c r="B15" s="323" t="str">
        <f>IF(C9="","",VLOOKUP(BU295,BV257:BW262,2,0))</f>
        <v>A construção de usinas, estações e subestações hidrelétricas, eólicas, nucleares, termoelétricas; a construção de redes de transmissão e distribuição de energia elétrica, inclusive o serviço de eletrificação rural. Esta subclasse compreende também: a construção de redes de eletrificação para ferrovias e metropolitano, conforme classificação 4221-9/02 do CNAE 2.0. Compreende ainda: a manutenção de redes de distribuição de energia elétrica, quando executada por empresa não-produtora ou distribuidora de energia elétrica, conforme classificação 4221-9/03 do CNAE 2.0. Enquadram-se também obras de iluminação pública e a construção de barragens e represas para geração de energia elétrica.</v>
      </c>
      <c r="C15" s="324"/>
      <c r="D15" s="324"/>
      <c r="E15" s="324"/>
      <c r="F15" s="325"/>
      <c r="G15" s="310"/>
      <c r="H15" s="311"/>
    </row>
    <row r="16" spans="1:11">
      <c r="A16" s="308"/>
      <c r="B16" s="313"/>
      <c r="C16" s="313"/>
      <c r="D16" s="313"/>
      <c r="E16" s="322"/>
      <c r="F16" s="313"/>
      <c r="G16" s="310"/>
      <c r="H16" s="311"/>
    </row>
    <row r="17" spans="1:48">
      <c r="A17" s="308"/>
      <c r="B17" s="313" t="s">
        <v>273</v>
      </c>
      <c r="C17" s="313"/>
      <c r="D17" s="313"/>
      <c r="E17" s="322"/>
      <c r="F17" s="313"/>
      <c r="G17" s="310"/>
      <c r="H17" s="311"/>
    </row>
    <row r="18" spans="1:48">
      <c r="A18" s="308"/>
      <c r="B18" s="313"/>
      <c r="C18" s="313"/>
      <c r="D18" s="313"/>
      <c r="E18" s="322"/>
      <c r="F18" s="313"/>
      <c r="G18" s="310"/>
      <c r="H18" s="311"/>
    </row>
    <row r="19" spans="1:48">
      <c r="A19" s="308"/>
      <c r="B19" s="313" t="s">
        <v>274</v>
      </c>
      <c r="C19" s="313"/>
      <c r="D19" s="326">
        <v>3.6499999999999998E-2</v>
      </c>
      <c r="E19" s="326"/>
      <c r="F19" s="326"/>
      <c r="G19" s="310"/>
      <c r="H19" s="311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7"/>
      <c r="AU19" s="327"/>
      <c r="AV19" s="327"/>
    </row>
    <row r="20" spans="1:48">
      <c r="A20" s="308"/>
      <c r="B20" s="313"/>
      <c r="C20" s="313"/>
      <c r="D20" s="313"/>
      <c r="E20" s="328"/>
      <c r="F20" s="328"/>
      <c r="G20" s="310"/>
      <c r="H20" s="311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  <c r="AG20" s="327"/>
      <c r="AH20" s="327"/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</row>
    <row r="21" spans="1:48" ht="24.75" customHeight="1">
      <c r="A21" s="308"/>
      <c r="B21" s="313" t="s">
        <v>275</v>
      </c>
      <c r="C21" s="313"/>
      <c r="D21" s="329" t="s">
        <v>276</v>
      </c>
      <c r="E21" s="329"/>
      <c r="F21" s="329"/>
      <c r="G21" s="310"/>
      <c r="H21" s="311"/>
      <c r="K21" s="330"/>
    </row>
    <row r="22" spans="1:48">
      <c r="A22" s="308"/>
      <c r="B22" s="331">
        <v>0.05</v>
      </c>
      <c r="C22" s="332"/>
      <c r="D22" s="326">
        <v>0.65990000000000004</v>
      </c>
      <c r="E22" s="326"/>
      <c r="F22" s="326"/>
      <c r="G22" s="310"/>
      <c r="H22" s="311"/>
      <c r="K22" s="330"/>
    </row>
    <row r="23" spans="1:48">
      <c r="A23" s="308"/>
      <c r="B23" s="318"/>
      <c r="C23" s="313"/>
      <c r="D23" s="313"/>
      <c r="E23" s="313"/>
      <c r="F23" s="313"/>
      <c r="G23" s="310"/>
      <c r="H23" s="311"/>
      <c r="K23" s="330"/>
    </row>
    <row r="24" spans="1:48">
      <c r="A24" s="308"/>
      <c r="B24" s="313" t="s">
        <v>277</v>
      </c>
      <c r="C24" s="333">
        <f>+B22*D22</f>
        <v>3.2995000000000003E-2</v>
      </c>
      <c r="D24" s="334"/>
      <c r="E24" s="335"/>
      <c r="F24" s="318"/>
      <c r="G24" s="310"/>
      <c r="H24" s="311"/>
      <c r="K24" s="330"/>
    </row>
    <row r="25" spans="1:48">
      <c r="A25" s="308"/>
      <c r="B25" s="318"/>
      <c r="C25" s="333"/>
      <c r="D25" s="318"/>
      <c r="E25" s="318"/>
      <c r="F25" s="318"/>
      <c r="G25" s="310"/>
      <c r="H25" s="311"/>
      <c r="K25" s="330"/>
    </row>
    <row r="26" spans="1:48" ht="15.75">
      <c r="A26" s="308"/>
      <c r="B26" s="318"/>
      <c r="C26" s="318"/>
      <c r="D26" s="336" t="s">
        <v>278</v>
      </c>
      <c r="E26" s="336"/>
      <c r="F26" s="337">
        <f>D19+C24</f>
        <v>6.9495000000000001E-2</v>
      </c>
      <c r="G26" s="310"/>
      <c r="H26" s="311"/>
      <c r="K26" s="330"/>
    </row>
    <row r="27" spans="1:48">
      <c r="A27" s="308"/>
      <c r="B27" s="318"/>
      <c r="C27" s="333"/>
      <c r="D27" s="318"/>
      <c r="E27" s="318"/>
      <c r="F27" s="318"/>
      <c r="G27" s="310"/>
      <c r="H27" s="311"/>
      <c r="K27" s="330"/>
    </row>
    <row r="28" spans="1:48">
      <c r="A28" s="308"/>
      <c r="B28" s="338" t="s">
        <v>279</v>
      </c>
      <c r="C28" s="338"/>
      <c r="D28" s="338"/>
      <c r="E28" s="338"/>
      <c r="F28" s="338"/>
      <c r="G28" s="310"/>
      <c r="H28" s="311"/>
      <c r="K28" s="330"/>
      <c r="M28" s="339"/>
    </row>
    <row r="29" spans="1:48" ht="13.5" thickBot="1">
      <c r="A29" s="308"/>
      <c r="B29" s="318"/>
      <c r="C29" s="318"/>
      <c r="D29" s="318"/>
      <c r="E29" s="318"/>
      <c r="F29" s="318"/>
      <c r="G29" s="310"/>
      <c r="K29" s="330"/>
    </row>
    <row r="30" spans="1:48">
      <c r="A30" s="340"/>
      <c r="B30" s="341"/>
      <c r="C30" s="341"/>
      <c r="D30" s="341"/>
      <c r="E30" s="341"/>
      <c r="F30" s="341"/>
      <c r="G30" s="342"/>
      <c r="K30" s="330"/>
    </row>
    <row r="31" spans="1:48">
      <c r="A31" s="308"/>
      <c r="B31" s="336" t="s">
        <v>280</v>
      </c>
      <c r="C31" s="336"/>
      <c r="D31" s="336"/>
      <c r="E31" s="336"/>
      <c r="F31" s="336"/>
      <c r="G31" s="310"/>
      <c r="H31" s="311"/>
      <c r="K31" s="330"/>
    </row>
    <row r="32" spans="1:48">
      <c r="A32" s="308"/>
      <c r="B32" s="336"/>
      <c r="C32" s="336"/>
      <c r="D32" s="336"/>
      <c r="E32" s="336"/>
      <c r="F32" s="336"/>
      <c r="G32" s="310"/>
      <c r="H32" s="311"/>
      <c r="K32" s="330"/>
    </row>
    <row r="33" spans="1:11">
      <c r="A33" s="308"/>
      <c r="B33" s="343" t="s">
        <v>281</v>
      </c>
      <c r="C33" s="343" t="s">
        <v>282</v>
      </c>
      <c r="D33" s="343" t="s">
        <v>283</v>
      </c>
      <c r="E33" s="343" t="s">
        <v>284</v>
      </c>
      <c r="F33" s="343" t="s">
        <v>285</v>
      </c>
      <c r="G33" s="310"/>
      <c r="H33" s="311"/>
      <c r="I33" s="344" t="s">
        <v>286</v>
      </c>
      <c r="K33" s="330"/>
    </row>
    <row r="34" spans="1:11">
      <c r="A34" s="308"/>
      <c r="B34" s="345" t="s">
        <v>287</v>
      </c>
      <c r="C34" s="346">
        <f t="shared" ref="C34:E38" si="0">BV296</f>
        <v>5.2900000000000003E-2</v>
      </c>
      <c r="D34" s="346">
        <f>BW296</f>
        <v>5.9200000000000003E-2</v>
      </c>
      <c r="E34" s="346">
        <f>BX296</f>
        <v>7.9299999999999995E-2</v>
      </c>
      <c r="F34" s="347">
        <v>5.2900000000000003E-2</v>
      </c>
      <c r="G34" s="348"/>
      <c r="H34" s="349"/>
      <c r="I34" s="350">
        <f>TRUNC(F34,4)</f>
        <v>5.2900000000000003E-2</v>
      </c>
      <c r="K34" s="320" t="str">
        <f>IF(F34&lt;&gt;"",IF(OR(F34&gt;E34,F34&lt;C34),"CORRIGIR % ADOTADO",""),"")</f>
        <v/>
      </c>
    </row>
    <row r="35" spans="1:11">
      <c r="A35" s="308"/>
      <c r="B35" s="345" t="s">
        <v>288</v>
      </c>
      <c r="C35" s="346">
        <f t="shared" si="0"/>
        <v>2.5000000000000001E-3</v>
      </c>
      <c r="D35" s="346">
        <f t="shared" si="0"/>
        <v>5.1000000000000004E-3</v>
      </c>
      <c r="E35" s="346">
        <f t="shared" si="0"/>
        <v>5.5999999999999999E-3</v>
      </c>
      <c r="F35" s="351">
        <v>2.5000000000000001E-3</v>
      </c>
      <c r="G35" s="348"/>
      <c r="H35" s="349"/>
      <c r="I35" s="350">
        <f>TRUNC(F35,4)</f>
        <v>2.5000000000000001E-3</v>
      </c>
      <c r="K35" s="320" t="str">
        <f>IF(F35&lt;&gt;"",IF(OR(F35&gt;E35,F35&lt;C35),"CORRIGIR % ADOTADO",""),"")</f>
        <v/>
      </c>
    </row>
    <row r="36" spans="1:11">
      <c r="A36" s="308"/>
      <c r="B36" s="345" t="s">
        <v>34</v>
      </c>
      <c r="C36" s="346">
        <f t="shared" si="0"/>
        <v>0.01</v>
      </c>
      <c r="D36" s="346">
        <f t="shared" si="0"/>
        <v>1.4800000000000001E-2</v>
      </c>
      <c r="E36" s="346">
        <f t="shared" si="0"/>
        <v>1.9699999999999999E-2</v>
      </c>
      <c r="F36" s="351">
        <v>0.01</v>
      </c>
      <c r="G36" s="348"/>
      <c r="H36" s="349"/>
      <c r="I36" s="350">
        <f>TRUNC(F36,4)</f>
        <v>0.01</v>
      </c>
      <c r="K36" s="320" t="str">
        <f>IF(F36&lt;&gt;"",IF(OR(F36&gt;E36,F36&lt;C36),"CORRIGIR % ADOTADO",""),"")</f>
        <v/>
      </c>
    </row>
    <row r="37" spans="1:11">
      <c r="A37" s="308"/>
      <c r="B37" s="345" t="s">
        <v>289</v>
      </c>
      <c r="C37" s="346">
        <f t="shared" si="0"/>
        <v>1.01E-2</v>
      </c>
      <c r="D37" s="346">
        <f t="shared" si="0"/>
        <v>1.0699999999999999E-2</v>
      </c>
      <c r="E37" s="346">
        <f t="shared" si="0"/>
        <v>1.11E-2</v>
      </c>
      <c r="F37" s="351">
        <v>1.01E-2</v>
      </c>
      <c r="G37" s="348"/>
      <c r="H37" s="349"/>
      <c r="I37" s="350">
        <f>TRUNC(F37,4)</f>
        <v>1.01E-2</v>
      </c>
      <c r="K37" s="320" t="str">
        <f>IF(F37&lt;&gt;"",IF(OR(F37&gt;E37,F37&lt;C37),"CORRIGIR % ADOTADO",""),"")</f>
        <v/>
      </c>
    </row>
    <row r="38" spans="1:11">
      <c r="A38" s="308"/>
      <c r="B38" s="345" t="s">
        <v>290</v>
      </c>
      <c r="C38" s="346">
        <f t="shared" si="0"/>
        <v>0.08</v>
      </c>
      <c r="D38" s="346">
        <f t="shared" si="0"/>
        <v>8.3099999999999993E-2</v>
      </c>
      <c r="E38" s="346">
        <f t="shared" si="0"/>
        <v>9.5100000000000004E-2</v>
      </c>
      <c r="F38" s="352">
        <v>0.08</v>
      </c>
      <c r="G38" s="348"/>
      <c r="H38" s="349"/>
      <c r="I38" s="350">
        <f>TRUNC(F38,4)</f>
        <v>0.08</v>
      </c>
      <c r="K38" s="320" t="str">
        <f>IF(F38&lt;&gt;"",IF(OR(F38&gt;E38,F38&lt;C38),"CORRIGIR % ADOTADO",""),"")</f>
        <v/>
      </c>
    </row>
    <row r="39" spans="1:11">
      <c r="A39" s="308"/>
      <c r="B39" s="345"/>
      <c r="C39" s="346"/>
      <c r="D39" s="346"/>
      <c r="E39" s="346"/>
      <c r="F39" s="318"/>
      <c r="G39" s="348"/>
      <c r="H39" s="349"/>
    </row>
    <row r="40" spans="1:11">
      <c r="A40" s="308"/>
      <c r="B40" s="353" t="s">
        <v>291</v>
      </c>
      <c r="C40" s="346"/>
      <c r="D40" s="346"/>
      <c r="E40" s="346"/>
      <c r="F40" s="354">
        <f>F26</f>
        <v>6.9495000000000001E-2</v>
      </c>
      <c r="G40" s="348"/>
      <c r="H40" s="349"/>
      <c r="I40" s="355">
        <f>TRUNC(F40,5)</f>
        <v>6.9489999999999996E-2</v>
      </c>
    </row>
    <row r="41" spans="1:11">
      <c r="A41" s="308"/>
      <c r="B41" s="318"/>
      <c r="C41" s="318"/>
      <c r="D41" s="318"/>
      <c r="E41" s="318"/>
      <c r="F41" s="318"/>
      <c r="G41" s="348"/>
      <c r="H41" s="349"/>
    </row>
    <row r="42" spans="1:11">
      <c r="A42" s="308"/>
      <c r="B42" s="318"/>
      <c r="C42" s="318"/>
      <c r="D42" s="318"/>
      <c r="E42" s="318"/>
      <c r="F42" s="318"/>
      <c r="G42" s="310"/>
      <c r="H42" s="349"/>
    </row>
    <row r="43" spans="1:11">
      <c r="A43" s="308"/>
      <c r="B43" s="318"/>
      <c r="C43" s="318"/>
      <c r="D43" s="318"/>
      <c r="E43" s="318"/>
      <c r="F43" s="318"/>
      <c r="G43" s="310"/>
      <c r="H43" s="311"/>
    </row>
    <row r="44" spans="1:11">
      <c r="A44" s="308"/>
      <c r="B44" s="318"/>
      <c r="C44" s="318"/>
      <c r="D44" s="318"/>
      <c r="E44" s="318"/>
      <c r="F44" s="318"/>
      <c r="G44" s="310"/>
      <c r="H44" s="311"/>
    </row>
    <row r="45" spans="1:11">
      <c r="A45" s="308"/>
      <c r="B45" s="318"/>
      <c r="C45" s="318"/>
      <c r="D45" s="318"/>
      <c r="E45" s="318"/>
      <c r="F45" s="318"/>
      <c r="G45" s="310"/>
      <c r="H45" s="311"/>
    </row>
    <row r="46" spans="1:11" ht="16.5" thickBot="1">
      <c r="A46" s="308"/>
      <c r="B46" s="356" t="s">
        <v>292</v>
      </c>
      <c r="C46" s="318"/>
      <c r="D46" s="318"/>
      <c r="E46" s="357">
        <f>ROUND((((1+I34+I35+I36)*(1+I37)*(1+I38))/(1-I40))-1,4)</f>
        <v>0.249</v>
      </c>
      <c r="F46" s="357"/>
      <c r="G46" s="310"/>
      <c r="H46" s="311"/>
      <c r="K46" s="358" t="str">
        <f>IF(F11="SIM","PARA SIMPLES CONFERÊNCIA","")</f>
        <v/>
      </c>
    </row>
    <row r="47" spans="1:11" ht="21.75" thickTop="1" thickBot="1">
      <c r="A47" s="308"/>
      <c r="B47" s="359" t="str">
        <f>IF(E46&lt;C50,"ERRO - BDI INFERIOR AO 1º QUARTIL",IF(E46&gt;E50,"ERRO - BDI SUPERIOR AO 3º QUARTIL","BDI CONFORME"))</f>
        <v>BDI CONFORME</v>
      </c>
      <c r="C47" s="360"/>
      <c r="D47" s="360"/>
      <c r="E47" s="360"/>
      <c r="F47" s="361"/>
      <c r="G47" s="310"/>
      <c r="H47" s="311"/>
    </row>
    <row r="48" spans="1:11" ht="18.75" thickTop="1">
      <c r="A48" s="308"/>
      <c r="B48" s="362"/>
      <c r="C48" s="362"/>
      <c r="D48" s="362"/>
      <c r="E48" s="362"/>
      <c r="F48" s="362"/>
      <c r="G48" s="310"/>
      <c r="H48" s="311"/>
    </row>
    <row r="49" spans="1:48">
      <c r="A49" s="308"/>
      <c r="B49" s="318"/>
      <c r="C49" s="363" t="s">
        <v>282</v>
      </c>
      <c r="D49" s="363" t="s">
        <v>283</v>
      </c>
      <c r="E49" s="363" t="s">
        <v>284</v>
      </c>
      <c r="F49" s="318"/>
      <c r="G49" s="310"/>
      <c r="H49" s="311"/>
    </row>
    <row r="50" spans="1:48">
      <c r="A50" s="308"/>
      <c r="B50" s="364" t="s">
        <v>293</v>
      </c>
      <c r="C50" s="365">
        <f>BV295</f>
        <v>0.24</v>
      </c>
      <c r="D50" s="365">
        <f>BW295</f>
        <v>0.25840000000000002</v>
      </c>
      <c r="E50" s="365">
        <f>BX295</f>
        <v>0.27860000000000001</v>
      </c>
      <c r="F50" s="318"/>
      <c r="G50" s="310"/>
      <c r="H50" s="311"/>
    </row>
    <row r="51" spans="1:48" hidden="1">
      <c r="A51" s="308"/>
      <c r="B51" s="364"/>
      <c r="C51" s="365"/>
      <c r="D51" s="365"/>
      <c r="E51" s="365"/>
      <c r="F51" s="318"/>
      <c r="G51" s="310"/>
      <c r="H51" s="311"/>
    </row>
    <row r="52" spans="1:48" hidden="1">
      <c r="A52" s="308"/>
      <c r="B52" s="336" t="s">
        <v>294</v>
      </c>
      <c r="C52" s="336"/>
      <c r="D52" s="336"/>
      <c r="E52" s="336"/>
      <c r="F52" s="336"/>
      <c r="G52" s="310"/>
      <c r="H52" s="311"/>
    </row>
    <row r="53" spans="1:48" hidden="1">
      <c r="A53" s="308"/>
      <c r="B53" s="366"/>
      <c r="C53" s="366"/>
      <c r="D53" s="366"/>
      <c r="E53" s="366"/>
      <c r="F53" s="366"/>
      <c r="G53" s="310"/>
      <c r="H53" s="311"/>
    </row>
    <row r="54" spans="1:48" ht="17.25" hidden="1" thickTop="1" thickBot="1">
      <c r="A54" s="308"/>
      <c r="B54" s="367" t="s">
        <v>295</v>
      </c>
      <c r="C54" s="367"/>
      <c r="D54" s="367"/>
      <c r="E54" s="368">
        <f>ROUND((((1+I34+I35+I36)*(1+I37)*(1+I38))/(1-I56))-1,4)</f>
        <v>0.3125</v>
      </c>
      <c r="F54" s="369"/>
      <c r="G54" s="310"/>
      <c r="H54" s="311"/>
      <c r="K54" s="370" t="str">
        <f>IF(F11="SIM","UTILIZAR BDI C/ DESONERAÇÃO","")</f>
        <v/>
      </c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371"/>
      <c r="AJ54" s="371"/>
      <c r="AK54" s="371"/>
      <c r="AL54" s="371"/>
      <c r="AM54" s="371"/>
      <c r="AN54" s="371"/>
      <c r="AO54" s="371"/>
      <c r="AP54" s="371"/>
      <c r="AQ54" s="371"/>
      <c r="AR54" s="371"/>
      <c r="AS54" s="371"/>
      <c r="AT54" s="371"/>
      <c r="AU54" s="371"/>
      <c r="AV54" s="371"/>
    </row>
    <row r="55" spans="1:48" hidden="1">
      <c r="A55" s="308"/>
      <c r="B55" s="364"/>
      <c r="C55" s="365"/>
      <c r="D55" s="365"/>
      <c r="E55" s="365"/>
      <c r="F55" s="318"/>
      <c r="G55" s="310"/>
      <c r="H55" s="31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71"/>
      <c r="AH55" s="371"/>
      <c r="AI55" s="371"/>
      <c r="AJ55" s="371"/>
      <c r="AK55" s="371"/>
      <c r="AL55" s="371"/>
      <c r="AM55" s="371"/>
      <c r="AN55" s="371"/>
      <c r="AO55" s="371"/>
      <c r="AP55" s="371"/>
      <c r="AQ55" s="371"/>
      <c r="AR55" s="371"/>
      <c r="AS55" s="371"/>
      <c r="AT55" s="371"/>
      <c r="AU55" s="371"/>
      <c r="AV55" s="371"/>
    </row>
    <row r="56" spans="1:48" ht="26.25" hidden="1">
      <c r="A56" s="308"/>
      <c r="B56" s="372" t="s">
        <v>296</v>
      </c>
      <c r="C56" s="333">
        <v>4.4999999999999998E-2</v>
      </c>
      <c r="D56" s="336" t="s">
        <v>278</v>
      </c>
      <c r="E56" s="336"/>
      <c r="F56" s="337">
        <f>+F26+C56</f>
        <v>0.114495</v>
      </c>
      <c r="G56" s="310"/>
      <c r="H56" s="311"/>
      <c r="I56" s="355">
        <f>TRUNC(F56,5)</f>
        <v>0.11448999999999999</v>
      </c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71"/>
      <c r="AH56" s="371"/>
      <c r="AI56" s="371"/>
      <c r="AJ56" s="371"/>
      <c r="AK56" s="371"/>
      <c r="AL56" s="371"/>
      <c r="AM56" s="371"/>
      <c r="AN56" s="371"/>
      <c r="AO56" s="371"/>
      <c r="AP56" s="371"/>
      <c r="AQ56" s="371"/>
      <c r="AR56" s="371"/>
      <c r="AS56" s="371"/>
      <c r="AT56" s="371"/>
      <c r="AU56" s="371"/>
      <c r="AV56" s="371"/>
    </row>
    <row r="57" spans="1:48" ht="13.5" hidden="1" thickBot="1">
      <c r="A57" s="373"/>
      <c r="B57" s="374"/>
      <c r="C57" s="375"/>
      <c r="D57" s="375"/>
      <c r="E57" s="375"/>
      <c r="F57" s="376"/>
      <c r="G57" s="377"/>
      <c r="H57" s="311"/>
    </row>
    <row r="61" spans="1:48">
      <c r="I61" s="378"/>
      <c r="J61" s="378"/>
      <c r="K61" s="378"/>
    </row>
    <row r="62" spans="1:48">
      <c r="I62" s="379"/>
    </row>
    <row r="63" spans="1:48">
      <c r="I63" s="380"/>
    </row>
    <row r="64" spans="1:48">
      <c r="I64" s="380"/>
    </row>
    <row r="65" spans="9:9">
      <c r="I65" s="381"/>
    </row>
    <row r="66" spans="9:9">
      <c r="I66" s="380"/>
    </row>
    <row r="67" spans="9:9">
      <c r="I67" s="380"/>
    </row>
    <row r="68" spans="9:9">
      <c r="I68" s="380"/>
    </row>
    <row r="69" spans="9:9">
      <c r="I69" s="380"/>
    </row>
    <row r="70" spans="9:9">
      <c r="I70" s="380"/>
    </row>
    <row r="73" spans="9:9">
      <c r="I73" s="378"/>
    </row>
    <row r="74" spans="9:9">
      <c r="I74" s="339"/>
    </row>
    <row r="75" spans="9:9">
      <c r="I75" s="339"/>
    </row>
    <row r="76" spans="9:9">
      <c r="I76" s="339"/>
    </row>
    <row r="77" spans="9:9">
      <c r="I77" s="339"/>
    </row>
    <row r="78" spans="9:9">
      <c r="I78" s="339"/>
    </row>
    <row r="79" spans="9:9">
      <c r="I79" s="339"/>
    </row>
    <row r="80" spans="9:9">
      <c r="I80" s="339"/>
    </row>
    <row r="81" spans="9:15">
      <c r="I81" s="339"/>
    </row>
    <row r="82" spans="9:15">
      <c r="I82" s="339"/>
    </row>
    <row r="83" spans="9:15">
      <c r="I83" s="382"/>
    </row>
    <row r="84" spans="9:15">
      <c r="I84" s="382"/>
    </row>
    <row r="85" spans="9:15">
      <c r="I85" s="382"/>
    </row>
    <row r="89" spans="9:15">
      <c r="N89" s="339"/>
      <c r="O89" s="350"/>
    </row>
    <row r="90" spans="9:15">
      <c r="N90" s="339"/>
      <c r="O90" s="350"/>
    </row>
    <row r="91" spans="9:15">
      <c r="N91" s="339"/>
      <c r="O91" s="350"/>
    </row>
    <row r="92" spans="9:15">
      <c r="N92" s="339"/>
      <c r="O92" s="350"/>
    </row>
    <row r="93" spans="9:15">
      <c r="N93" s="339"/>
      <c r="O93" s="350"/>
    </row>
    <row r="94" spans="9:15">
      <c r="N94" s="339"/>
      <c r="O94" s="350"/>
    </row>
    <row r="95" spans="9:15">
      <c r="N95" s="339"/>
      <c r="O95" s="350"/>
    </row>
    <row r="96" spans="9:15">
      <c r="N96" s="339"/>
      <c r="O96" s="350"/>
    </row>
    <row r="97" spans="14:15">
      <c r="N97" s="339"/>
      <c r="O97" s="350"/>
    </row>
    <row r="98" spans="14:15">
      <c r="N98" s="339"/>
      <c r="O98" s="350"/>
    </row>
    <row r="99" spans="14:15">
      <c r="N99" s="339"/>
      <c r="O99" s="350"/>
    </row>
    <row r="100" spans="14:15">
      <c r="N100" s="339"/>
    </row>
    <row r="101" spans="14:15">
      <c r="N101" s="339"/>
    </row>
    <row r="102" spans="14:15">
      <c r="N102" s="339"/>
    </row>
    <row r="103" spans="14:15">
      <c r="N103" s="339"/>
    </row>
    <row r="254" spans="72:76" ht="13.5" thickBot="1"/>
    <row r="255" spans="72:76">
      <c r="BT255" s="383" t="s">
        <v>297</v>
      </c>
      <c r="BU255" s="384"/>
      <c r="BV255" s="384"/>
      <c r="BW255" s="384"/>
      <c r="BX255" s="385"/>
    </row>
    <row r="256" spans="72:76">
      <c r="BT256" s="386"/>
      <c r="BU256" s="311" t="s">
        <v>298</v>
      </c>
      <c r="BV256" s="311" t="s">
        <v>299</v>
      </c>
      <c r="BW256" s="311" t="s">
        <v>300</v>
      </c>
      <c r="BX256" s="387"/>
    </row>
    <row r="257" spans="72:87">
      <c r="BT257" s="388">
        <v>100</v>
      </c>
      <c r="BU257" s="389" t="s">
        <v>301</v>
      </c>
      <c r="BV257" s="390">
        <f t="shared" ref="BV257:BV262" si="1">+BT257</f>
        <v>100</v>
      </c>
      <c r="BW257" s="391" t="s">
        <v>302</v>
      </c>
      <c r="BX257" s="387"/>
    </row>
    <row r="258" spans="72:87">
      <c r="BT258" s="388">
        <v>200</v>
      </c>
      <c r="BU258" s="389" t="s">
        <v>303</v>
      </c>
      <c r="BV258" s="390">
        <f t="shared" si="1"/>
        <v>200</v>
      </c>
      <c r="BW258" s="391" t="s">
        <v>304</v>
      </c>
      <c r="BX258" s="387"/>
    </row>
    <row r="259" spans="72:87" ht="57">
      <c r="BT259" s="388">
        <v>300</v>
      </c>
      <c r="BU259" s="392" t="s">
        <v>305</v>
      </c>
      <c r="BV259" s="390">
        <f t="shared" si="1"/>
        <v>300</v>
      </c>
      <c r="BW259" s="391" t="s">
        <v>306</v>
      </c>
      <c r="BX259" s="387"/>
    </row>
    <row r="260" spans="72:87" ht="57">
      <c r="BT260" s="388">
        <v>400</v>
      </c>
      <c r="BU260" s="392" t="s">
        <v>268</v>
      </c>
      <c r="BV260" s="390">
        <f t="shared" si="1"/>
        <v>400</v>
      </c>
      <c r="BW260" s="391" t="s">
        <v>307</v>
      </c>
      <c r="BX260" s="387"/>
    </row>
    <row r="261" spans="72:87">
      <c r="BT261" s="388">
        <v>500</v>
      </c>
      <c r="BU261" s="389" t="s">
        <v>308</v>
      </c>
      <c r="BV261" s="390">
        <f t="shared" si="1"/>
        <v>500</v>
      </c>
      <c r="BW261" s="391" t="s">
        <v>309</v>
      </c>
      <c r="BX261" s="387"/>
    </row>
    <row r="262" spans="72:87" ht="25.5">
      <c r="BT262" s="388">
        <v>600</v>
      </c>
      <c r="BU262" s="389" t="s">
        <v>310</v>
      </c>
      <c r="BV262" s="390">
        <f t="shared" si="1"/>
        <v>600</v>
      </c>
      <c r="BW262" s="391" t="s">
        <v>311</v>
      </c>
      <c r="BX262" s="387"/>
    </row>
    <row r="263" spans="72:87">
      <c r="BT263" s="388"/>
      <c r="BU263" s="390"/>
      <c r="BV263" s="390"/>
      <c r="BW263" s="391"/>
      <c r="BX263" s="387"/>
    </row>
    <row r="264" spans="72:87">
      <c r="BT264" s="393"/>
      <c r="BU264" s="391"/>
      <c r="BV264" s="391"/>
      <c r="BW264" s="391"/>
      <c r="BX264" s="387"/>
    </row>
    <row r="265" spans="72:87">
      <c r="BT265" s="393"/>
      <c r="BU265" s="391"/>
      <c r="BV265" s="391"/>
      <c r="BW265" s="391"/>
      <c r="BX265" s="387"/>
      <c r="CF265" s="295" t="s">
        <v>35</v>
      </c>
      <c r="CG265" s="295" t="s">
        <v>312</v>
      </c>
      <c r="CH265" s="295" t="s">
        <v>313</v>
      </c>
    </row>
    <row r="266" spans="72:87">
      <c r="BT266" s="386"/>
      <c r="BU266" s="311"/>
      <c r="BV266" s="311"/>
      <c r="BW266" s="311"/>
      <c r="BX266" s="387"/>
      <c r="CE266" s="295" t="s">
        <v>314</v>
      </c>
      <c r="CF266" s="350">
        <v>6.4999999999999997E-3</v>
      </c>
      <c r="CG266" s="394">
        <v>0.03</v>
      </c>
      <c r="CH266" s="295" t="s">
        <v>315</v>
      </c>
      <c r="CI266" s="350" t="e">
        <f>(#REF!+#REF!)+C24</f>
        <v>#REF!</v>
      </c>
    </row>
    <row r="267" spans="72:87">
      <c r="BT267" s="386"/>
      <c r="BU267" s="311"/>
      <c r="BV267" s="311"/>
      <c r="BW267" s="311"/>
      <c r="BX267" s="387"/>
      <c r="CF267" s="350">
        <v>1.6500000000000001E-2</v>
      </c>
      <c r="CG267" s="350">
        <v>7.5999999999999998E-2</v>
      </c>
      <c r="CH267" s="295" t="s">
        <v>316</v>
      </c>
      <c r="CI267" s="350" t="e">
        <f>(#REF!+#REF!)*#REF!+C24</f>
        <v>#REF!</v>
      </c>
    </row>
    <row r="268" spans="72:87">
      <c r="BT268" s="386"/>
      <c r="BU268" s="311"/>
      <c r="BV268" s="311"/>
      <c r="BW268" s="311"/>
      <c r="BX268" s="387"/>
    </row>
    <row r="269" spans="72:87">
      <c r="BT269" s="395"/>
      <c r="BU269" s="396"/>
      <c r="BV269" s="396"/>
      <c r="BW269" s="311"/>
      <c r="BX269" s="387"/>
    </row>
    <row r="270" spans="72:87">
      <c r="BT270" s="386"/>
      <c r="BU270" s="311"/>
      <c r="BV270" s="311"/>
      <c r="BW270" s="311"/>
      <c r="BX270" s="387"/>
    </row>
    <row r="271" spans="72:87" ht="13.5" thickBot="1">
      <c r="BT271" s="386"/>
      <c r="BU271" s="311"/>
      <c r="BV271" s="311"/>
      <c r="BW271" s="311"/>
      <c r="BX271" s="387"/>
      <c r="CD271" s="295">
        <f>BT257</f>
        <v>100</v>
      </c>
      <c r="CE271" s="397" t="str">
        <f>BU257</f>
        <v>Construção de edificios</v>
      </c>
      <c r="CF271" s="397"/>
      <c r="CG271" s="397"/>
      <c r="CH271" s="397"/>
    </row>
    <row r="272" spans="72:87" ht="15" thickBot="1">
      <c r="BT272" s="386"/>
      <c r="BU272" s="311"/>
      <c r="BV272" s="311"/>
      <c r="BW272" s="311"/>
      <c r="BX272" s="387"/>
      <c r="CD272" s="295">
        <f>+CD271+1</f>
        <v>101</v>
      </c>
      <c r="CE272" s="398" t="s">
        <v>287</v>
      </c>
      <c r="CF272" s="399">
        <v>0.03</v>
      </c>
      <c r="CG272" s="399">
        <v>0.04</v>
      </c>
      <c r="CH272" s="399">
        <v>5.5E-2</v>
      </c>
    </row>
    <row r="273" spans="72:86" ht="15" thickBot="1">
      <c r="BT273" s="386"/>
      <c r="BU273" s="311"/>
      <c r="BV273" s="311"/>
      <c r="BW273" s="311"/>
      <c r="BX273" s="387"/>
      <c r="CD273" s="295">
        <f>+CD272+1</f>
        <v>102</v>
      </c>
      <c r="CE273" s="398" t="s">
        <v>288</v>
      </c>
      <c r="CF273" s="399">
        <v>8.0000000000000002E-3</v>
      </c>
      <c r="CG273" s="399">
        <v>8.0000000000000002E-3</v>
      </c>
      <c r="CH273" s="399">
        <v>0.01</v>
      </c>
    </row>
    <row r="274" spans="72:86" ht="15" thickBot="1">
      <c r="BT274" s="386"/>
      <c r="BU274" s="311"/>
      <c r="BV274" s="311"/>
      <c r="BW274" s="311"/>
      <c r="BX274" s="387"/>
      <c r="CD274" s="295">
        <f>+CD273+1</f>
        <v>103</v>
      </c>
      <c r="CE274" s="398" t="s">
        <v>34</v>
      </c>
      <c r="CF274" s="399">
        <v>9.7000000000000003E-3</v>
      </c>
      <c r="CG274" s="399">
        <v>1.2699999999999999E-2</v>
      </c>
      <c r="CH274" s="399">
        <v>1.2699999999999999E-2</v>
      </c>
    </row>
    <row r="275" spans="72:86" ht="15" thickBot="1">
      <c r="BT275" s="395"/>
      <c r="BU275" s="396"/>
      <c r="BV275" s="396"/>
      <c r="BW275" s="311"/>
      <c r="BX275" s="387"/>
      <c r="CD275" s="295">
        <f>+CD274+1</f>
        <v>104</v>
      </c>
      <c r="CE275" s="398" t="s">
        <v>289</v>
      </c>
      <c r="CF275" s="399">
        <v>5.8999999999999999E-3</v>
      </c>
      <c r="CG275" s="399">
        <v>1.23E-2</v>
      </c>
      <c r="CH275" s="399">
        <v>1.3899999999999999E-2</v>
      </c>
    </row>
    <row r="276" spans="72:86" ht="15" thickBot="1">
      <c r="BT276" s="386"/>
      <c r="BU276" s="311"/>
      <c r="BV276" s="311"/>
      <c r="BW276" s="311"/>
      <c r="BX276" s="387"/>
      <c r="CD276" s="295">
        <f>+CD275+1</f>
        <v>105</v>
      </c>
      <c r="CE276" s="398" t="s">
        <v>290</v>
      </c>
      <c r="CF276" s="399">
        <v>6.1600000000000002E-2</v>
      </c>
      <c r="CG276" s="399">
        <v>7.3999999999999996E-2</v>
      </c>
      <c r="CH276" s="399">
        <v>8.9599999999999999E-2</v>
      </c>
    </row>
    <row r="277" spans="72:86">
      <c r="BT277" s="386"/>
      <c r="BU277" s="311"/>
      <c r="BV277" s="311"/>
      <c r="BW277" s="311"/>
      <c r="BX277" s="387"/>
    </row>
    <row r="278" spans="72:86">
      <c r="BT278" s="386"/>
      <c r="BU278" s="311"/>
      <c r="BV278" s="311"/>
      <c r="BW278" s="311"/>
      <c r="BX278" s="387"/>
    </row>
    <row r="279" spans="72:86" ht="13.5" thickBot="1">
      <c r="BT279" s="386"/>
      <c r="BU279" s="311"/>
      <c r="BV279" s="311"/>
      <c r="BW279" s="311"/>
      <c r="BX279" s="387"/>
      <c r="CD279" s="295">
        <f>BT258</f>
        <v>200</v>
      </c>
      <c r="CE279" s="397" t="str">
        <f>BU258</f>
        <v>Construção de rodovias e ferrovias</v>
      </c>
      <c r="CF279" s="397"/>
      <c r="CG279" s="397"/>
      <c r="CH279" s="397"/>
    </row>
    <row r="280" spans="72:86" ht="15" thickBot="1">
      <c r="BT280" s="386"/>
      <c r="BU280" s="311"/>
      <c r="BV280" s="311"/>
      <c r="BW280" s="311"/>
      <c r="BX280" s="387"/>
      <c r="CD280" s="295">
        <f>+CD279+1</f>
        <v>201</v>
      </c>
      <c r="CE280" s="398" t="s">
        <v>287</v>
      </c>
      <c r="CF280" s="399">
        <v>3.7999999999999999E-2</v>
      </c>
      <c r="CG280" s="399">
        <v>4.0099999999999997E-2</v>
      </c>
      <c r="CH280" s="399">
        <v>4.6699999999999998E-2</v>
      </c>
    </row>
    <row r="281" spans="72:86" ht="15" thickBot="1">
      <c r="BT281" s="386"/>
      <c r="BU281" s="311"/>
      <c r="BV281" s="311"/>
      <c r="BW281" s="311"/>
      <c r="BX281" s="387"/>
      <c r="CD281" s="295">
        <f>+CD280+1</f>
        <v>202</v>
      </c>
      <c r="CE281" s="398" t="s">
        <v>288</v>
      </c>
      <c r="CF281" s="399">
        <v>3.2000000000000002E-3</v>
      </c>
      <c r="CG281" s="399">
        <v>4.0000000000000001E-3</v>
      </c>
      <c r="CH281" s="399">
        <v>7.4000000000000003E-3</v>
      </c>
    </row>
    <row r="282" spans="72:86" ht="15" thickBot="1">
      <c r="BT282" s="383"/>
      <c r="BU282" s="384"/>
      <c r="BV282" s="384"/>
      <c r="BW282" s="384"/>
      <c r="BX282" s="385"/>
      <c r="CD282" s="295">
        <f>+CD281+1</f>
        <v>203</v>
      </c>
      <c r="CE282" s="398" t="s">
        <v>34</v>
      </c>
      <c r="CF282" s="399">
        <v>5.0000000000000001E-3</v>
      </c>
      <c r="CG282" s="399">
        <v>5.5999999999999999E-3</v>
      </c>
      <c r="CH282" s="399">
        <v>9.7000000000000003E-3</v>
      </c>
    </row>
    <row r="283" spans="72:86" ht="15" thickBot="1">
      <c r="BT283" s="386"/>
      <c r="BU283" s="311"/>
      <c r="BV283" s="311"/>
      <c r="BW283" s="311"/>
      <c r="BX283" s="387"/>
      <c r="CD283" s="295">
        <f>+CD282+1</f>
        <v>204</v>
      </c>
      <c r="CE283" s="398" t="s">
        <v>289</v>
      </c>
      <c r="CF283" s="399">
        <v>1.0200000000000001E-2</v>
      </c>
      <c r="CG283" s="399">
        <v>1.11E-2</v>
      </c>
      <c r="CH283" s="399">
        <v>1.21E-2</v>
      </c>
    </row>
    <row r="284" spans="72:86" ht="15" thickBot="1">
      <c r="BT284" s="386"/>
      <c r="BU284" s="311"/>
      <c r="BV284" s="311"/>
      <c r="BW284" s="311"/>
      <c r="BX284" s="387"/>
      <c r="CD284" s="295">
        <f>+CD283+1</f>
        <v>205</v>
      </c>
      <c r="CE284" s="398" t="s">
        <v>290</v>
      </c>
      <c r="CF284" s="399">
        <v>6.6400000000000001E-2</v>
      </c>
      <c r="CG284" s="399">
        <v>7.2999999999999995E-2</v>
      </c>
      <c r="CH284" s="399">
        <v>8.6900000000000005E-2</v>
      </c>
    </row>
    <row r="285" spans="72:86">
      <c r="BT285" s="386"/>
      <c r="BU285" s="311"/>
      <c r="BV285" s="311"/>
      <c r="BW285" s="311"/>
      <c r="BX285" s="387"/>
    </row>
    <row r="286" spans="72:86" ht="13.5" thickBot="1">
      <c r="BT286" s="400"/>
      <c r="BU286" s="401"/>
      <c r="BV286" s="401"/>
      <c r="BW286" s="401"/>
      <c r="BX286" s="402"/>
    </row>
    <row r="287" spans="72:86" ht="13.5" thickBot="1">
      <c r="BT287" s="383"/>
      <c r="BU287" s="384"/>
      <c r="BV287" s="384"/>
      <c r="BW287" s="384"/>
      <c r="BX287" s="385"/>
      <c r="CD287" s="295">
        <f>BT259</f>
        <v>300</v>
      </c>
      <c r="CE287" s="397" t="str">
        <f>BU259</f>
        <v>Construção de Redes de Abastecimento de Água, Coleta de Esgoto e Construções Correlatas</v>
      </c>
      <c r="CF287" s="397"/>
      <c r="CG287" s="397"/>
      <c r="CH287" s="397"/>
    </row>
    <row r="288" spans="72:86" ht="15" thickBot="1">
      <c r="BT288" s="403"/>
      <c r="BU288" s="404"/>
      <c r="BV288" s="404"/>
      <c r="BW288" s="404"/>
      <c r="BX288" s="405"/>
      <c r="CD288" s="295">
        <f>+CD287+1</f>
        <v>301</v>
      </c>
      <c r="CE288" s="406" t="s">
        <v>287</v>
      </c>
      <c r="CF288" s="407">
        <v>3.4299999999999997E-2</v>
      </c>
      <c r="CG288" s="407">
        <v>4.9299999999999997E-2</v>
      </c>
      <c r="CH288" s="407">
        <v>6.7100000000000007E-2</v>
      </c>
    </row>
    <row r="289" spans="72:86" ht="15" thickBot="1">
      <c r="BT289" s="403"/>
      <c r="BU289" s="404"/>
      <c r="BV289" s="404"/>
      <c r="BW289" s="404"/>
      <c r="BX289" s="405"/>
      <c r="CD289" s="295">
        <f>+CD288+1</f>
        <v>302</v>
      </c>
      <c r="CE289" s="398" t="s">
        <v>288</v>
      </c>
      <c r="CF289" s="399">
        <v>2.8E-3</v>
      </c>
      <c r="CG289" s="399">
        <v>4.8999999999999998E-3</v>
      </c>
      <c r="CH289" s="399">
        <v>7.4999999999999997E-3</v>
      </c>
    </row>
    <row r="290" spans="72:86" ht="15" thickBot="1">
      <c r="BT290" s="408"/>
      <c r="BU290" s="409"/>
      <c r="BV290" s="410"/>
      <c r="BW290" s="410"/>
      <c r="BX290" s="411"/>
      <c r="CD290" s="295">
        <f>+CD289+1</f>
        <v>303</v>
      </c>
      <c r="CE290" s="398" t="s">
        <v>34</v>
      </c>
      <c r="CF290" s="399">
        <v>0.01</v>
      </c>
      <c r="CG290" s="399">
        <v>1.3899999999999999E-2</v>
      </c>
      <c r="CH290" s="399">
        <v>1.7399999999999999E-2</v>
      </c>
    </row>
    <row r="291" spans="72:86" ht="15" thickBot="1">
      <c r="BT291" s="386"/>
      <c r="BU291" s="311"/>
      <c r="BV291" s="311"/>
      <c r="BW291" s="311"/>
      <c r="BX291" s="387"/>
      <c r="CD291" s="295">
        <f>+CD290+1</f>
        <v>304</v>
      </c>
      <c r="CE291" s="398" t="s">
        <v>289</v>
      </c>
      <c r="CF291" s="399">
        <v>9.4000000000000004E-3</v>
      </c>
      <c r="CG291" s="399">
        <v>9.9000000000000008E-3</v>
      </c>
      <c r="CH291" s="399">
        <v>1.17E-2</v>
      </c>
    </row>
    <row r="292" spans="72:86" ht="15" thickBot="1">
      <c r="BT292" s="400"/>
      <c r="BU292" s="401"/>
      <c r="BV292" s="401"/>
      <c r="BW292" s="401"/>
      <c r="BX292" s="402"/>
      <c r="CD292" s="295">
        <f>+CD291+1</f>
        <v>305</v>
      </c>
      <c r="CE292" s="398" t="s">
        <v>290</v>
      </c>
      <c r="CF292" s="399">
        <v>6.7400000000000002E-2</v>
      </c>
      <c r="CG292" s="399">
        <v>8.0399999999999999E-2</v>
      </c>
      <c r="CH292" s="399">
        <v>9.4E-2</v>
      </c>
    </row>
    <row r="293" spans="72:86">
      <c r="BT293" s="383"/>
      <c r="BU293" s="384"/>
      <c r="BV293" s="384"/>
      <c r="BW293" s="384"/>
      <c r="BX293" s="385"/>
    </row>
    <row r="294" spans="72:86" ht="13.5" thickBot="1">
      <c r="BT294" s="412"/>
      <c r="BU294" s="413" t="s">
        <v>317</v>
      </c>
      <c r="BV294" s="413" t="s">
        <v>318</v>
      </c>
      <c r="BW294" s="413" t="s">
        <v>319</v>
      </c>
      <c r="BX294" s="413" t="s">
        <v>320</v>
      </c>
      <c r="CD294" s="295">
        <f>BT260</f>
        <v>400</v>
      </c>
      <c r="CE294" s="397" t="str">
        <f>BU260</f>
        <v>Construção e Manutenção de Estações e Redes de Distribuição de Energia Elétrica</v>
      </c>
      <c r="CF294" s="397"/>
      <c r="CG294" s="397"/>
      <c r="CH294" s="397"/>
    </row>
    <row r="295" spans="72:86" ht="15" thickBot="1">
      <c r="BT295" s="412" t="s">
        <v>321</v>
      </c>
      <c r="BU295" s="413">
        <f>VLOOKUP(C9,BU257:BV262,2,0)</f>
        <v>400</v>
      </c>
      <c r="BV295" s="414">
        <f>VLOOKUP($BU295,$BT$306:$BX$311,3,0)</f>
        <v>0.24</v>
      </c>
      <c r="BW295" s="414">
        <f>VLOOKUP($BU295,$BT$306:$BX$311,4,0)</f>
        <v>0.25840000000000002</v>
      </c>
      <c r="BX295" s="414">
        <f>VLOOKUP($BU295,$BT$306:$BX$311,5,0)</f>
        <v>0.27860000000000001</v>
      </c>
      <c r="CD295" s="295">
        <f>+CD294+1</f>
        <v>401</v>
      </c>
      <c r="CE295" s="406" t="s">
        <v>287</v>
      </c>
      <c r="CF295" s="407">
        <v>5.2900000000000003E-2</v>
      </c>
      <c r="CG295" s="407">
        <v>5.9200000000000003E-2</v>
      </c>
      <c r="CH295" s="407">
        <v>7.9299999999999995E-2</v>
      </c>
    </row>
    <row r="296" spans="72:86" ht="15" thickBot="1">
      <c r="BT296" s="415" t="s">
        <v>287</v>
      </c>
      <c r="BU296" s="413">
        <f>+BU295+1</f>
        <v>401</v>
      </c>
      <c r="BV296" s="414">
        <f>VLOOKUP($BU296,$CD$271:$CH$312,3,0)</f>
        <v>5.2900000000000003E-2</v>
      </c>
      <c r="BW296" s="414">
        <f>VLOOKUP($BU296,$CD$271:$CH$312,4,0)</f>
        <v>5.9200000000000003E-2</v>
      </c>
      <c r="BX296" s="414">
        <f>VLOOKUP($BU296,$CD$271:$CH$312,5,0)</f>
        <v>7.9299999999999995E-2</v>
      </c>
      <c r="CD296" s="295">
        <f>+CD295+1</f>
        <v>402</v>
      </c>
      <c r="CE296" s="398" t="s">
        <v>288</v>
      </c>
      <c r="CF296" s="399">
        <v>2.5000000000000001E-3</v>
      </c>
      <c r="CG296" s="399">
        <v>5.1000000000000004E-3</v>
      </c>
      <c r="CH296" s="399">
        <v>5.5999999999999999E-3</v>
      </c>
    </row>
    <row r="297" spans="72:86" ht="15" thickBot="1">
      <c r="BT297" s="415" t="s">
        <v>288</v>
      </c>
      <c r="BU297" s="413">
        <f>+BU296+1</f>
        <v>402</v>
      </c>
      <c r="BV297" s="414">
        <f>VLOOKUP($BU297,$CD$271:$CH$312,3,0)</f>
        <v>2.5000000000000001E-3</v>
      </c>
      <c r="BW297" s="414">
        <f>VLOOKUP($BU297,$CD$271:$CH$312,4,0)</f>
        <v>5.1000000000000004E-3</v>
      </c>
      <c r="BX297" s="414">
        <f>VLOOKUP($BU297,$CD$271:$CH$312,5,0)</f>
        <v>5.5999999999999999E-3</v>
      </c>
      <c r="CD297" s="295">
        <f>+CD296+1</f>
        <v>403</v>
      </c>
      <c r="CE297" s="398" t="s">
        <v>34</v>
      </c>
      <c r="CF297" s="399">
        <v>0.01</v>
      </c>
      <c r="CG297" s="399">
        <v>1.4800000000000001E-2</v>
      </c>
      <c r="CH297" s="399">
        <v>1.9699999999999999E-2</v>
      </c>
    </row>
    <row r="298" spans="72:86" ht="15" thickBot="1">
      <c r="BT298" s="415" t="s">
        <v>34</v>
      </c>
      <c r="BU298" s="413">
        <f>+BU297+1</f>
        <v>403</v>
      </c>
      <c r="BV298" s="414">
        <f>VLOOKUP($BU298,$CD$271:$CH$312,3,0)</f>
        <v>0.01</v>
      </c>
      <c r="BW298" s="414">
        <f>VLOOKUP($BU298,$CD$271:$CH$312,4,0)</f>
        <v>1.4800000000000001E-2</v>
      </c>
      <c r="BX298" s="414">
        <f>VLOOKUP($BU298,$CD$271:$CH$312,5,0)</f>
        <v>1.9699999999999999E-2</v>
      </c>
      <c r="CD298" s="295">
        <f>+CD297+1</f>
        <v>404</v>
      </c>
      <c r="CE298" s="398" t="s">
        <v>289</v>
      </c>
      <c r="CF298" s="399">
        <v>1.01E-2</v>
      </c>
      <c r="CG298" s="399">
        <v>1.0699999999999999E-2</v>
      </c>
      <c r="CH298" s="399">
        <v>1.11E-2</v>
      </c>
    </row>
    <row r="299" spans="72:86" ht="15" thickBot="1">
      <c r="BT299" s="415" t="s">
        <v>289</v>
      </c>
      <c r="BU299" s="413">
        <f>+BU298+1</f>
        <v>404</v>
      </c>
      <c r="BV299" s="414">
        <f>VLOOKUP($BU299,$CD$271:$CH$312,3,0)</f>
        <v>1.01E-2</v>
      </c>
      <c r="BW299" s="414">
        <f>VLOOKUP($BU299,$CD$271:$CH$312,4,0)</f>
        <v>1.0699999999999999E-2</v>
      </c>
      <c r="BX299" s="414">
        <f>VLOOKUP($BU299,$CD$271:$CH$312,5,0)</f>
        <v>1.11E-2</v>
      </c>
      <c r="CD299" s="295">
        <f>+CD298+1</f>
        <v>405</v>
      </c>
      <c r="CE299" s="398" t="s">
        <v>290</v>
      </c>
      <c r="CF299" s="399">
        <v>0.08</v>
      </c>
      <c r="CG299" s="399">
        <v>8.3099999999999993E-2</v>
      </c>
      <c r="CH299" s="399">
        <v>9.5100000000000004E-2</v>
      </c>
    </row>
    <row r="300" spans="72:86" ht="15" thickBot="1">
      <c r="BT300" s="415" t="s">
        <v>290</v>
      </c>
      <c r="BU300" s="413">
        <f>+BU299+1</f>
        <v>405</v>
      </c>
      <c r="BV300" s="414">
        <f>VLOOKUP($BU300,$CD$271:$CH$312,3,0)</f>
        <v>0.08</v>
      </c>
      <c r="BW300" s="414">
        <f>VLOOKUP($BU300,$CD$271:$CH$312,4,0)</f>
        <v>8.3099999999999993E-2</v>
      </c>
      <c r="BX300" s="414">
        <f>VLOOKUP($BU300,$CD$271:$CH$312,5,0)</f>
        <v>9.5100000000000004E-2</v>
      </c>
      <c r="CD300" s="295">
        <f>BT261</f>
        <v>500</v>
      </c>
      <c r="CE300" s="397" t="str">
        <f>BU261</f>
        <v>Portuárias, Marítimas e Fluviais</v>
      </c>
      <c r="CF300" s="397"/>
      <c r="CG300" s="397"/>
      <c r="CH300" s="397"/>
    </row>
    <row r="301" spans="72:86" ht="15" thickBot="1">
      <c r="BT301" s="386"/>
      <c r="BU301" s="311"/>
      <c r="BV301" s="311"/>
      <c r="BW301" s="311"/>
      <c r="BX301" s="387"/>
      <c r="CD301" s="295">
        <f>+CD300+1</f>
        <v>501</v>
      </c>
      <c r="CE301" s="406" t="s">
        <v>287</v>
      </c>
      <c r="CF301" s="407">
        <v>0.04</v>
      </c>
      <c r="CG301" s="407">
        <v>5.5199999999999999E-2</v>
      </c>
      <c r="CH301" s="407">
        <v>7.85E-2</v>
      </c>
    </row>
    <row r="302" spans="72:86" ht="15" thickBot="1">
      <c r="CD302" s="295">
        <f>+CD301+1</f>
        <v>502</v>
      </c>
      <c r="CE302" s="398" t="s">
        <v>288</v>
      </c>
      <c r="CF302" s="399">
        <v>8.0999999999999996E-3</v>
      </c>
      <c r="CG302" s="399">
        <v>1.2200000000000001E-2</v>
      </c>
      <c r="CH302" s="399">
        <v>1.9900000000000001E-2</v>
      </c>
    </row>
    <row r="303" spans="72:86" ht="15" thickBot="1">
      <c r="CD303" s="295">
        <f>+CD302+1</f>
        <v>503</v>
      </c>
      <c r="CE303" s="398" t="s">
        <v>34</v>
      </c>
      <c r="CF303" s="399">
        <v>1.46E-2</v>
      </c>
      <c r="CG303" s="399">
        <v>2.3199999999999998E-2</v>
      </c>
      <c r="CH303" s="399">
        <v>3.1600000000000003E-2</v>
      </c>
    </row>
    <row r="304" spans="72:86" ht="15" thickBot="1">
      <c r="CD304" s="295">
        <f>+CD303+1</f>
        <v>504</v>
      </c>
      <c r="CE304" s="398" t="s">
        <v>289</v>
      </c>
      <c r="CF304" s="399">
        <v>9.4000000000000004E-3</v>
      </c>
      <c r="CG304" s="399">
        <v>1.0200000000000001E-2</v>
      </c>
      <c r="CH304" s="399">
        <v>1.3299999999999999E-2</v>
      </c>
    </row>
    <row r="305" spans="72:86" ht="15" thickBot="1">
      <c r="BV305" s="416" t="s">
        <v>322</v>
      </c>
      <c r="BW305" s="417" t="s">
        <v>319</v>
      </c>
      <c r="BX305" s="417" t="s">
        <v>323</v>
      </c>
      <c r="CD305" s="295">
        <f>+CD304+1</f>
        <v>505</v>
      </c>
      <c r="CE305" s="398" t="s">
        <v>290</v>
      </c>
      <c r="CF305" s="399">
        <v>7.1400000000000005E-2</v>
      </c>
      <c r="CG305" s="399">
        <v>8.4000000000000005E-2</v>
      </c>
      <c r="CH305" s="399">
        <v>0.1043</v>
      </c>
    </row>
    <row r="306" spans="72:86" ht="15" thickBot="1">
      <c r="BT306" s="295">
        <f>BT257</f>
        <v>100</v>
      </c>
      <c r="BU306" s="406" t="str">
        <f t="shared" ref="BU306:BU311" si="2">VLOOKUP(BT306,BT257:BU262,2,0)</f>
        <v>Construção de edificios</v>
      </c>
      <c r="BV306" s="407">
        <v>0.2034</v>
      </c>
      <c r="BW306" s="407">
        <v>0.22120000000000001</v>
      </c>
      <c r="BX306" s="407">
        <v>0.25</v>
      </c>
    </row>
    <row r="307" spans="72:86" ht="29.25" thickBot="1">
      <c r="BT307" s="295">
        <v>200</v>
      </c>
      <c r="BU307" s="406" t="str">
        <f t="shared" si="2"/>
        <v>Construção de rodovias e ferrovias</v>
      </c>
      <c r="BV307" s="399">
        <v>0.19600000000000001</v>
      </c>
      <c r="BW307" s="399">
        <v>0.2097</v>
      </c>
      <c r="BX307" s="399">
        <v>0.24229999999999999</v>
      </c>
      <c r="CD307" s="295">
        <f>BT262</f>
        <v>600</v>
      </c>
      <c r="CE307" s="397" t="str">
        <f>BU262</f>
        <v>Fornecimento de Materiais e Equipamentos</v>
      </c>
      <c r="CF307" s="397"/>
      <c r="CG307" s="397"/>
      <c r="CH307" s="397"/>
    </row>
    <row r="308" spans="72:86" ht="57.75" thickBot="1">
      <c r="BT308" s="295">
        <f>BT259</f>
        <v>300</v>
      </c>
      <c r="BU308" s="406" t="str">
        <f t="shared" si="2"/>
        <v>Construção de Redes de Abastecimento de Água, Coleta de Esgoto e Construções Correlatas</v>
      </c>
      <c r="BV308" s="399">
        <v>0.20760000000000001</v>
      </c>
      <c r="BW308" s="399">
        <v>0.24179999999999999</v>
      </c>
      <c r="BX308" s="399">
        <v>0.26440000000000002</v>
      </c>
      <c r="CD308" s="295">
        <f>+CD307+1</f>
        <v>601</v>
      </c>
      <c r="CE308" s="406" t="s">
        <v>287</v>
      </c>
      <c r="CF308" s="407">
        <v>1.4999999999999999E-2</v>
      </c>
      <c r="CG308" s="407">
        <v>3.4500000000000003E-2</v>
      </c>
      <c r="CH308" s="407">
        <v>4.4900000000000002E-2</v>
      </c>
    </row>
    <row r="309" spans="72:86" ht="57.75" thickBot="1">
      <c r="BT309" s="295">
        <v>400</v>
      </c>
      <c r="BU309" s="406" t="str">
        <f t="shared" si="2"/>
        <v>Construção e Manutenção de Estações e Redes de Distribuição de Energia Elétrica</v>
      </c>
      <c r="BV309" s="399">
        <v>0.24</v>
      </c>
      <c r="BW309" s="399">
        <v>0.25840000000000002</v>
      </c>
      <c r="BX309" s="399">
        <v>0.27860000000000001</v>
      </c>
      <c r="CD309" s="295">
        <f>+CD308+1</f>
        <v>602</v>
      </c>
      <c r="CE309" s="398" t="s">
        <v>288</v>
      </c>
      <c r="CF309" s="399">
        <v>3.0000000000000001E-3</v>
      </c>
      <c r="CG309" s="399">
        <v>4.7999999999999996E-3</v>
      </c>
      <c r="CH309" s="399">
        <v>8.2000000000000007E-3</v>
      </c>
    </row>
    <row r="310" spans="72:86" ht="29.25" thickBot="1">
      <c r="BT310" s="295">
        <v>500</v>
      </c>
      <c r="BU310" s="406" t="str">
        <f t="shared" si="2"/>
        <v>Portuárias, Marítimas e Fluviais</v>
      </c>
      <c r="BV310" s="399">
        <v>0.22800000000000001</v>
      </c>
      <c r="BW310" s="399">
        <v>0.27479999999999999</v>
      </c>
      <c r="BX310" s="399">
        <v>0.3095</v>
      </c>
      <c r="CD310" s="295">
        <f>+CD309+1</f>
        <v>603</v>
      </c>
      <c r="CE310" s="398" t="s">
        <v>34</v>
      </c>
      <c r="CF310" s="399">
        <v>5.5999999999999999E-3</v>
      </c>
      <c r="CG310" s="399">
        <v>8.5000000000000006E-3</v>
      </c>
      <c r="CH310" s="399">
        <v>8.8999999999999999E-3</v>
      </c>
    </row>
    <row r="311" spans="72:86" ht="29.25" thickBot="1">
      <c r="BT311" s="295">
        <v>600</v>
      </c>
      <c r="BU311" s="406" t="str">
        <f t="shared" si="2"/>
        <v>Fornecimento de Materiais e Equipamentos</v>
      </c>
      <c r="BV311" s="399">
        <v>0.111</v>
      </c>
      <c r="BW311" s="399">
        <v>0.14019999999999999</v>
      </c>
      <c r="BX311" s="399">
        <v>0.16800000000000001</v>
      </c>
      <c r="CD311" s="295">
        <f>+CD310+1</f>
        <v>604</v>
      </c>
      <c r="CE311" s="398" t="s">
        <v>289</v>
      </c>
      <c r="CF311" s="399">
        <v>8.5000000000000006E-3</v>
      </c>
      <c r="CG311" s="399">
        <v>8.5000000000000006E-3</v>
      </c>
      <c r="CH311" s="399">
        <v>1.11E-2</v>
      </c>
    </row>
    <row r="312" spans="72:86" ht="15" thickBot="1">
      <c r="CD312" s="295">
        <f>+CD311+1</f>
        <v>605</v>
      </c>
      <c r="CE312" s="398" t="s">
        <v>290</v>
      </c>
      <c r="CF312" s="399">
        <v>3.5000000000000003E-2</v>
      </c>
      <c r="CG312" s="399">
        <v>5.11E-2</v>
      </c>
      <c r="CH312" s="399">
        <v>6.2199999999999998E-2</v>
      </c>
    </row>
  </sheetData>
  <mergeCells count="33">
    <mergeCell ref="CE307:CH307"/>
    <mergeCell ref="BT288:BX288"/>
    <mergeCell ref="BT289:BX289"/>
    <mergeCell ref="BT293:BX293"/>
    <mergeCell ref="CE294:CH294"/>
    <mergeCell ref="CE300:CH300"/>
    <mergeCell ref="CE271:CH271"/>
    <mergeCell ref="CE279:CH279"/>
    <mergeCell ref="BT282:BX282"/>
    <mergeCell ref="BT287:BX287"/>
    <mergeCell ref="CE287:CH287"/>
    <mergeCell ref="B52:F52"/>
    <mergeCell ref="B54:D54"/>
    <mergeCell ref="E54:F54"/>
    <mergeCell ref="D56:E56"/>
    <mergeCell ref="BT255:BX255"/>
    <mergeCell ref="B28:F28"/>
    <mergeCell ref="B31:F31"/>
    <mergeCell ref="B32:F32"/>
    <mergeCell ref="E46:F46"/>
    <mergeCell ref="B47:F47"/>
    <mergeCell ref="D19:F19"/>
    <mergeCell ref="K19:AV20"/>
    <mergeCell ref="D21:F21"/>
    <mergeCell ref="D22:F22"/>
    <mergeCell ref="D26:E26"/>
    <mergeCell ref="A1:G1"/>
    <mergeCell ref="B5:F5"/>
    <mergeCell ref="B7:F7"/>
    <mergeCell ref="C9:F9"/>
    <mergeCell ref="B15:F15"/>
    <mergeCell ref="A3:G3"/>
    <mergeCell ref="A2:G2"/>
  </mergeCells>
  <conditionalFormatting sqref="F34:F38">
    <cfRule type="cellIs" dxfId="3" priority="1" stopIfTrue="1" operator="between">
      <formula>$C34</formula>
      <formula>$E34</formula>
    </cfRule>
  </conditionalFormatting>
  <conditionalFormatting sqref="B52:D56 E52:F53 E55:F56">
    <cfRule type="expression" dxfId="2" priority="2" stopIfTrue="1">
      <formula>OR($F$11="NÃO",$F$11="")</formula>
    </cfRule>
  </conditionalFormatting>
  <conditionalFormatting sqref="E46:F46">
    <cfRule type="expression" dxfId="1" priority="3" stopIfTrue="1">
      <formula>$F$11="SIM"</formula>
    </cfRule>
  </conditionalFormatting>
  <conditionalFormatting sqref="E54:F54">
    <cfRule type="expression" dxfId="0" priority="4" stopIfTrue="1">
      <formula>OR($F$11="NÃO",$F$11="")</formula>
    </cfRule>
  </conditionalFormatting>
  <dataValidations count="5">
    <dataValidation type="decimal" allowBlank="1" showInputMessage="1" showErrorMessage="1" sqref="F40">
      <formula1>C40</formula1>
      <formula2>E40</formula2>
    </dataValidation>
    <dataValidation type="decimal" allowBlank="1" showInputMessage="1" showErrorMessage="1" errorTitle="FORA DO INTERVALO" error="Deve-se adotar valor entre o 1º e 3º quartil" sqref="F34:F38">
      <formula1>C34</formula1>
      <formula2>E34</formula2>
    </dataValidation>
    <dataValidation type="list" allowBlank="1" showInputMessage="1" showErrorMessage="1" sqref="F11">
      <formula1>"SIM, NÃO"</formula1>
    </dataValidation>
    <dataValidation type="list" allowBlank="1" showInputMessage="1" showErrorMessage="1" sqref="C9:F9">
      <formula1>$BU$257:$BU$262</formula1>
    </dataValidation>
    <dataValidation type="list" allowBlank="1" showInputMessage="1" showErrorMessage="1" sqref="E20:F20">
      <formula1>$CE$266:$CE$267</formula1>
    </dataValidation>
  </dataValidations>
  <printOptions horizontalCentered="1" gridLines="1"/>
  <pageMargins left="0.98425196850393704" right="0.78740157480314965" top="1.7716535433070868" bottom="0.78740157480314965" header="0.31496062992125984" footer="0.31496062992125984"/>
  <pageSetup paperSize="9" scale="85" orientation="portrait" r:id="rId1"/>
  <headerFooter>
    <oddFooter>&amp;RPágina &amp;P de &amp;N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79</xdr:col>
                <xdr:colOff>0</xdr:colOff>
                <xdr:row>239</xdr:row>
                <xdr:rowOff>0</xdr:rowOff>
              </from>
              <to>
                <xdr:col>79</xdr:col>
                <xdr:colOff>0</xdr:colOff>
                <xdr:row>240</xdr:row>
                <xdr:rowOff>76200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5">
            <anchor moveWithCells="1" sizeWithCells="1">
              <from>
                <xdr:col>0</xdr:col>
                <xdr:colOff>57150</xdr:colOff>
                <xdr:row>41</xdr:row>
                <xdr:rowOff>0</xdr:rowOff>
              </from>
              <to>
                <xdr:col>5</xdr:col>
                <xdr:colOff>714375</xdr:colOff>
                <xdr:row>44</xdr:row>
                <xdr:rowOff>0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CRONOGRAMA</vt:lpstr>
      <vt:lpstr>PLANILHA ORÇAMENTÁRIA</vt:lpstr>
      <vt:lpstr>COMPOSIÇÃO</vt:lpstr>
      <vt:lpstr>BDI</vt:lpstr>
      <vt:lpstr>BDI!Area_de_impressao</vt:lpstr>
      <vt:lpstr>COMPOSIÇÃO!Area_de_impressao</vt:lpstr>
      <vt:lpstr>CRONOGRAMA!Area_de_impressao</vt:lpstr>
      <vt:lpstr>'PLANILHA ORÇAMENTÁRIA'!Area_de_impressao</vt:lpstr>
      <vt:lpstr>BDI!Titulos_de_impressao</vt:lpstr>
      <vt:lpstr>COMPOSIÇÃO!Titulos_de_impressao</vt:lpstr>
      <vt:lpstr>CRONOGRAMA!Titulos_de_impressao</vt:lpstr>
      <vt:lpstr>'PLANILHA ORÇAMENTÁRIA'!Titulos_de_impressao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</dc:creator>
  <cp:lastModifiedBy>Usuário do Windows</cp:lastModifiedBy>
  <cp:lastPrinted>2018-08-04T21:19:11Z</cp:lastPrinted>
  <dcterms:created xsi:type="dcterms:W3CDTF">2003-03-13T20:31:18Z</dcterms:created>
  <dcterms:modified xsi:type="dcterms:W3CDTF">2018-08-04T21:23:06Z</dcterms:modified>
</cp:coreProperties>
</file>